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7260" windowHeight="5070" activeTab="0"/>
  </bookViews>
  <sheets>
    <sheet name="training schedule" sheetId="1" r:id="rId1"/>
    <sheet name="analysis" sheetId="2" r:id="rId2"/>
    <sheet name="race pace 1" sheetId="3" r:id="rId3"/>
    <sheet name="race pace 2" sheetId="4" r:id="rId4"/>
  </sheets>
  <definedNames>
    <definedName name="_Fill" hidden="1">'training schedule'!#REF!</definedName>
    <definedName name="dbdi">'training schedule'!$AE$42:$AE$55</definedName>
    <definedName name="dbdiist">'training schedule'!$AE$59:$AE$72</definedName>
    <definedName name="dbdo">'training schedule'!$AG$42:$AG$55</definedName>
    <definedName name="dbdoist">'training schedule'!$AG$59:$AG$72</definedName>
    <definedName name="dbfr">'training schedule'!$AH$42:$AH$55</definedName>
    <definedName name="dbfrist">'training schedule'!$AH$59:$AH$72</definedName>
    <definedName name="dbmi">'training schedule'!$AF$42:$AF$55</definedName>
    <definedName name="dbmiist">'training schedule'!$AF$59:$AF$72</definedName>
    <definedName name="dbmo">'training schedule'!$AD$42:$AD$55</definedName>
    <definedName name="dbmoist">'training schedule'!$AD$59:$AD$72</definedName>
    <definedName name="dbsa">'training schedule'!$AI$42:$AI$55</definedName>
    <definedName name="dbsaist">'training schedule'!$AI$59:$AI$72</definedName>
    <definedName name="dbso">'training schedule'!$AJ$42:$AJ$55</definedName>
    <definedName name="dbsoist">'training schedule'!$AJ$59:$AJ$72</definedName>
    <definedName name="_xlnm.Print_Area" localSheetId="0">'training schedule'!$A$1:$U$51</definedName>
  </definedNames>
  <calcPr fullCalcOnLoad="1"/>
</workbook>
</file>

<file path=xl/comments2.xml><?xml version="1.0" encoding="utf-8"?>
<comments xmlns="http://schemas.openxmlformats.org/spreadsheetml/2006/main">
  <authors>
    <author>Ulrich Sauer</author>
  </authors>
  <commentList>
    <comment ref="D27" authorId="0">
      <text>
        <r>
          <rPr>
            <sz val="8"/>
            <rFont val="Tahoma"/>
            <family val="0"/>
          </rPr>
          <t xml:space="preserve">actual speed in min/mile
</t>
        </r>
      </text>
    </comment>
    <comment ref="C27" authorId="0">
      <text>
        <r>
          <rPr>
            <sz val="8"/>
            <rFont val="Tahoma"/>
            <family val="0"/>
          </rPr>
          <t xml:space="preserve">planned speed in min/mile
</t>
        </r>
      </text>
    </comment>
    <comment ref="B27" authorId="0">
      <text>
        <r>
          <rPr>
            <sz val="8"/>
            <rFont val="Tahoma"/>
            <family val="0"/>
          </rPr>
          <t xml:space="preserve">average planned speed in min/mile
</t>
        </r>
      </text>
    </comment>
    <comment ref="E27" authorId="0">
      <text>
        <r>
          <rPr>
            <sz val="8"/>
            <rFont val="Tahoma"/>
            <family val="0"/>
          </rPr>
          <t xml:space="preserve">actual speed accumulated 
in min/mile
</t>
        </r>
      </text>
    </comment>
    <comment ref="F27" authorId="0">
      <text>
        <r>
          <rPr>
            <sz val="8"/>
            <rFont val="Tahoma"/>
            <family val="0"/>
          </rPr>
          <t xml:space="preserve">actual average speed
accumulated
in min/mile
</t>
        </r>
      </text>
    </comment>
    <comment ref="G27" authorId="0">
      <text>
        <r>
          <rPr>
            <sz val="8"/>
            <rFont val="Tahoma"/>
            <family val="0"/>
          </rPr>
          <t xml:space="preserve">Heartrate
in beats/min
</t>
        </r>
      </text>
    </comment>
    <comment ref="H27" authorId="0">
      <text>
        <r>
          <rPr>
            <sz val="8"/>
            <rFont val="Tahoma"/>
            <family val="0"/>
          </rPr>
          <t xml:space="preserve">actual speed in min/K
</t>
        </r>
      </text>
    </comment>
  </commentList>
</comments>
</file>

<file path=xl/sharedStrings.xml><?xml version="1.0" encoding="utf-8"?>
<sst xmlns="http://schemas.openxmlformats.org/spreadsheetml/2006/main" count="213" uniqueCount="99">
  <si>
    <t>W</t>
  </si>
  <si>
    <t>week</t>
  </si>
  <si>
    <t>mo</t>
  </si>
  <si>
    <t>tu</t>
  </si>
  <si>
    <t>we</t>
  </si>
  <si>
    <t>th</t>
  </si>
  <si>
    <t>fr</t>
  </si>
  <si>
    <t>sa</t>
  </si>
  <si>
    <t>su</t>
  </si>
  <si>
    <t>from</t>
  </si>
  <si>
    <t>to</t>
  </si>
  <si>
    <t>schedule</t>
  </si>
  <si>
    <t>recovery</t>
  </si>
  <si>
    <t>MaxHR</t>
  </si>
  <si>
    <t>Slow</t>
  </si>
  <si>
    <t>Intervals I</t>
  </si>
  <si>
    <t>Intervals II</t>
  </si>
  <si>
    <t>5K speed</t>
  </si>
  <si>
    <t>updated:</t>
  </si>
  <si>
    <t>to go</t>
  </si>
  <si>
    <t>days</t>
  </si>
  <si>
    <t>done</t>
  </si>
  <si>
    <t>max done</t>
  </si>
  <si>
    <t>max sched</t>
  </si>
  <si>
    <t>diff</t>
  </si>
  <si>
    <t xml:space="preserve"> </t>
  </si>
  <si>
    <t>miles</t>
  </si>
  <si>
    <t>diff. to schedule so far</t>
  </si>
  <si>
    <t>= min/km</t>
  </si>
  <si>
    <t>min/km</t>
  </si>
  <si>
    <t>= min/mile</t>
  </si>
  <si>
    <t>total</t>
  </si>
  <si>
    <t>Med I</t>
  </si>
  <si>
    <t>Med II</t>
  </si>
  <si>
    <t>Mar.spd.</t>
  </si>
  <si>
    <t>= 400m</t>
  </si>
  <si>
    <t>= 800m</t>
  </si>
  <si>
    <t>= 600m</t>
  </si>
  <si>
    <t>km/h</t>
  </si>
  <si>
    <t>= km/h</t>
  </si>
  <si>
    <t>avrg forecast based on diff.</t>
  </si>
  <si>
    <t>time</t>
  </si>
  <si>
    <t>hours</t>
  </si>
  <si>
    <t>minutes</t>
  </si>
  <si>
    <t>race pacing</t>
  </si>
  <si>
    <t>spectators</t>
  </si>
  <si>
    <t>Ø min/mile</t>
  </si>
  <si>
    <t>Ø min/K</t>
  </si>
  <si>
    <t>k</t>
  </si>
  <si>
    <t>km</t>
  </si>
  <si>
    <t>Ist kum</t>
  </si>
  <si>
    <t>Puls</t>
  </si>
  <si>
    <t>Tp Soll</t>
  </si>
  <si>
    <t>Tp Ist</t>
  </si>
  <si>
    <t>Tp Ist kum</t>
  </si>
  <si>
    <t>Armband-Aufkleber</t>
  </si>
  <si>
    <t>kilos</t>
  </si>
  <si>
    <t>pace calculator</t>
  </si>
  <si>
    <t>race date</t>
  </si>
  <si>
    <t>kum</t>
  </si>
  <si>
    <t>&gt;=20</t>
  </si>
  <si>
    <t>&gt;=30</t>
  </si>
  <si>
    <t>di</t>
  </si>
  <si>
    <t>mi</t>
  </si>
  <si>
    <t>do</t>
  </si>
  <si>
    <t>so</t>
  </si>
  <si>
    <t>&gt;=25</t>
  </si>
  <si>
    <t>&gt;=20K</t>
  </si>
  <si>
    <t>&gt;=25K</t>
  </si>
  <si>
    <t>&gt;=30K</t>
  </si>
  <si>
    <t>whole schedule</t>
  </si>
  <si>
    <t>done until today</t>
  </si>
  <si>
    <t>number of long runs</t>
  </si>
  <si>
    <t>m</t>
  </si>
  <si>
    <t>min/Meile</t>
  </si>
  <si>
    <t>HM</t>
  </si>
  <si>
    <t>Tp Ist /km</t>
  </si>
  <si>
    <r>
      <t xml:space="preserve">distances in K  /  R = recovery / L = slow / M = medium / S = speed / </t>
    </r>
    <r>
      <rPr>
        <sz val="10"/>
        <color indexed="10"/>
        <rFont val="Verdana"/>
        <family val="2"/>
      </rPr>
      <t>W = Race</t>
    </r>
  </si>
  <si>
    <t>mile</t>
  </si>
  <si>
    <t>(decimals for scaling)</t>
  </si>
  <si>
    <t>sample numbers of my London Marathon 2004</t>
  </si>
  <si>
    <t>L</t>
  </si>
  <si>
    <t>accident</t>
  </si>
  <si>
    <t>R</t>
  </si>
  <si>
    <t>M</t>
  </si>
  <si>
    <t>gym</t>
  </si>
  <si>
    <t>S</t>
  </si>
  <si>
    <t>target:</t>
  </si>
  <si>
    <t>3:38</t>
  </si>
  <si>
    <t>total week 8 to 1</t>
  </si>
  <si>
    <t>average week 8 to 1</t>
  </si>
  <si>
    <t>training for New York City 2007</t>
  </si>
  <si>
    <t>8 week schedule</t>
  </si>
  <si>
    <t>Suedtirol Halbmarathon</t>
  </si>
  <si>
    <t>Ruhrtal Halbmarathon</t>
  </si>
  <si>
    <t>NYC Marathon</t>
  </si>
  <si>
    <t>hill walk</t>
  </si>
  <si>
    <t>travel</t>
  </si>
  <si>
    <t>Dublin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</si>
</sst>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)"/>
    <numFmt numFmtId="173" formatCode="dd/mm/yy_)"/>
    <numFmt numFmtId="174" formatCode="#,##0.0_);\(#,##0.0\)"/>
    <numFmt numFmtId="175" formatCode="#,##0.000_);\(#,##0.000\)"/>
    <numFmt numFmtId="176" formatCode="#,##0.00_);\(#,##0.00\)"/>
    <numFmt numFmtId="177" formatCode="#,##0_);\(#,##0\)"/>
    <numFmt numFmtId="178" formatCode="0.000"/>
    <numFmt numFmtId="179" formatCode="0.0"/>
    <numFmt numFmtId="180" formatCode="0.00000"/>
    <numFmt numFmtId="181" formatCode="0.0000"/>
    <numFmt numFmtId="182" formatCode="0.0_ ;\-0.0\ "/>
    <numFmt numFmtId="183" formatCode="0.0%"/>
    <numFmt numFmtId="184" formatCode="00"/>
    <numFmt numFmtId="185" formatCode="d/m/yy\ h:mm"/>
    <numFmt numFmtId="186" formatCode="h:mm"/>
    <numFmt numFmtId="187" formatCode="0.0000000"/>
    <numFmt numFmtId="188" formatCode="0.000000"/>
    <numFmt numFmtId="189" formatCode="0.00000000"/>
    <numFmt numFmtId="190" formatCode="0.000000000"/>
    <numFmt numFmtId="191" formatCode=";;;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0.0\ \ "/>
    <numFmt numFmtId="196" formatCode="0.0\ "/>
    <numFmt numFmtId="197" formatCode="dd/mm/"/>
    <numFmt numFmtId="198" formatCode="\+0.0;\-0.0"/>
    <numFmt numFmtId="199" formatCode="\+\ 0.0;\-\ 0.0;0.0;"/>
    <numFmt numFmtId="200" formatCode="h:mm:ss"/>
    <numFmt numFmtId="201" formatCode="[$€-2]\ #,##0.00_);[Red]\([$€-2]\ #,##0.00\)"/>
    <numFmt numFmtId="202" formatCode="0\ "/>
  </numFmts>
  <fonts count="41">
    <font>
      <sz val="12"/>
      <name val="Arial MT"/>
      <family val="0"/>
    </font>
    <font>
      <sz val="10"/>
      <name val="Arial"/>
      <family val="0"/>
    </font>
    <font>
      <sz val="10"/>
      <name val="Courier"/>
      <family val="0"/>
    </font>
    <font>
      <sz val="10"/>
      <name val="Arial MT"/>
      <family val="0"/>
    </font>
    <font>
      <sz val="8"/>
      <name val="Arial"/>
      <family val="2"/>
    </font>
    <font>
      <sz val="9.5"/>
      <name val="Arial"/>
      <family val="2"/>
    </font>
    <font>
      <sz val="11"/>
      <name val="Arial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0"/>
      <name val="Arial MT"/>
      <family val="0"/>
    </font>
    <font>
      <b/>
      <sz val="12"/>
      <name val="Arial MT"/>
      <family val="2"/>
    </font>
    <font>
      <b/>
      <sz val="12"/>
      <color indexed="18"/>
      <name val="Arial MT"/>
      <family val="0"/>
    </font>
    <font>
      <b/>
      <sz val="12"/>
      <color indexed="53"/>
      <name val="Arial MT"/>
      <family val="0"/>
    </font>
    <font>
      <sz val="12"/>
      <name val="Arial"/>
      <family val="2"/>
    </font>
    <font>
      <sz val="19.25"/>
      <name val="Arial"/>
      <family val="0"/>
    </font>
    <font>
      <b/>
      <sz val="8"/>
      <color indexed="3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b/>
      <sz val="10"/>
      <color indexed="10"/>
      <name val="Arial MT"/>
      <family val="0"/>
    </font>
    <font>
      <b/>
      <sz val="8"/>
      <color indexed="18"/>
      <name val="Arial"/>
      <family val="2"/>
    </font>
    <font>
      <b/>
      <sz val="8"/>
      <color indexed="62"/>
      <name val="Arial"/>
      <family val="2"/>
    </font>
    <font>
      <b/>
      <sz val="8"/>
      <color indexed="60"/>
      <name val="Arial"/>
      <family val="2"/>
    </font>
    <font>
      <sz val="12"/>
      <color indexed="10"/>
      <name val="Arial MT"/>
      <family val="0"/>
    </font>
    <font>
      <sz val="12"/>
      <color indexed="12"/>
      <name val="Arial MT"/>
      <family val="0"/>
    </font>
    <font>
      <b/>
      <sz val="12"/>
      <color indexed="61"/>
      <name val="Arial MT"/>
      <family val="0"/>
    </font>
    <font>
      <b/>
      <sz val="9.5"/>
      <name val="Arial"/>
      <family val="2"/>
    </font>
    <font>
      <b/>
      <sz val="9.5"/>
      <color indexed="39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8"/>
      <name val="Verdana"/>
      <family val="2"/>
    </font>
    <font>
      <u val="single"/>
      <sz val="10"/>
      <color indexed="10"/>
      <name val="Verdana"/>
      <family val="2"/>
    </font>
    <font>
      <sz val="10"/>
      <color indexed="17"/>
      <name val="Verdana"/>
      <family val="2"/>
    </font>
    <font>
      <sz val="10"/>
      <color indexed="12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sz val="8"/>
      <color indexed="8"/>
      <name val="Verdana"/>
      <family val="2"/>
    </font>
    <font>
      <u val="single"/>
      <sz val="8"/>
      <name val="Verdana"/>
      <family val="2"/>
    </font>
    <font>
      <sz val="8"/>
      <name val="Tahoma"/>
      <family val="0"/>
    </font>
    <font>
      <b/>
      <sz val="8"/>
      <name val="Arial MT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DashDotDot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37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11" fillId="0" borderId="0" xfId="0" applyFont="1" applyAlignment="1">
      <alignment/>
    </xf>
    <xf numFmtId="0" fontId="0" fillId="0" borderId="2" xfId="0" applyBorder="1" applyAlignment="1">
      <alignment/>
    </xf>
    <xf numFmtId="176" fontId="0" fillId="0" borderId="3" xfId="0" applyNumberFormat="1" applyBorder="1" applyAlignment="1" applyProtection="1">
      <alignment/>
      <protection/>
    </xf>
    <xf numFmtId="176" fontId="0" fillId="0" borderId="4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0" fontId="0" fillId="0" borderId="6" xfId="0" applyBorder="1" applyAlignment="1">
      <alignment/>
    </xf>
    <xf numFmtId="175" fontId="0" fillId="0" borderId="7" xfId="0" applyNumberFormat="1" applyBorder="1" applyAlignment="1" applyProtection="1">
      <alignment/>
      <protection/>
    </xf>
    <xf numFmtId="0" fontId="0" fillId="0" borderId="7" xfId="0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5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6" fontId="0" fillId="0" borderId="10" xfId="0" applyNumberForma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6" fontId="3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46" fontId="3" fillId="0" borderId="10" xfId="0" applyNumberFormat="1" applyFont="1" applyBorder="1" applyAlignment="1" applyProtection="1">
      <alignment/>
      <protection/>
    </xf>
    <xf numFmtId="46" fontId="3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186" fontId="12" fillId="0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186" fontId="0" fillId="0" borderId="14" xfId="0" applyNumberFormat="1" applyFill="1" applyBorder="1" applyAlignment="1" applyProtection="1">
      <alignment/>
      <protection/>
    </xf>
    <xf numFmtId="186" fontId="0" fillId="0" borderId="12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46" fontId="0" fillId="0" borderId="0" xfId="0" applyNumberFormat="1" applyBorder="1" applyAlignment="1" applyProtection="1">
      <alignment/>
      <protection/>
    </xf>
    <xf numFmtId="46" fontId="0" fillId="0" borderId="4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/>
      <protection/>
    </xf>
    <xf numFmtId="46" fontId="0" fillId="0" borderId="15" xfId="0" applyNumberFormat="1" applyBorder="1" applyAlignment="1" applyProtection="1">
      <alignment/>
      <protection/>
    </xf>
    <xf numFmtId="46" fontId="0" fillId="0" borderId="16" xfId="0" applyNumberFormat="1" applyBorder="1" applyAlignment="1" applyProtection="1">
      <alignment/>
      <protection/>
    </xf>
    <xf numFmtId="176" fontId="0" fillId="0" borderId="17" xfId="0" applyNumberFormat="1" applyBorder="1" applyAlignment="1" applyProtection="1">
      <alignment/>
      <protection/>
    </xf>
    <xf numFmtId="0" fontId="0" fillId="0" borderId="18" xfId="0" applyBorder="1" applyAlignment="1">
      <alignment/>
    </xf>
    <xf numFmtId="17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176" fontId="0" fillId="0" borderId="18" xfId="0" applyNumberFormat="1" applyBorder="1" applyAlignment="1" applyProtection="1">
      <alignment/>
      <protection/>
    </xf>
    <xf numFmtId="46" fontId="0" fillId="0" borderId="14" xfId="0" applyNumberFormat="1" applyBorder="1" applyAlignment="1" applyProtection="1">
      <alignment/>
      <protection/>
    </xf>
    <xf numFmtId="46" fontId="0" fillId="0" borderId="21" xfId="0" applyNumberFormat="1" applyBorder="1" applyAlignment="1" applyProtection="1">
      <alignment/>
      <protection/>
    </xf>
    <xf numFmtId="176" fontId="0" fillId="0" borderId="22" xfId="0" applyNumberFormat="1" applyBorder="1" applyAlignment="1" applyProtection="1">
      <alignment/>
      <protection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176" fontId="0" fillId="0" borderId="16" xfId="0" applyNumberFormat="1" applyBorder="1" applyAlignment="1" applyProtection="1">
      <alignment/>
      <protection/>
    </xf>
    <xf numFmtId="0" fontId="0" fillId="0" borderId="19" xfId="0" applyBorder="1" applyAlignment="1">
      <alignment/>
    </xf>
    <xf numFmtId="176" fontId="0" fillId="0" borderId="21" xfId="0" applyNumberFormat="1" applyBorder="1" applyAlignment="1" applyProtection="1">
      <alignment/>
      <protection/>
    </xf>
    <xf numFmtId="2" fontId="0" fillId="0" borderId="18" xfId="0" applyNumberFormat="1" applyBorder="1" applyAlignment="1">
      <alignment/>
    </xf>
    <xf numFmtId="46" fontId="0" fillId="0" borderId="12" xfId="0" applyNumberFormat="1" applyBorder="1" applyAlignment="1" applyProtection="1">
      <alignment/>
      <protection/>
    </xf>
    <xf numFmtId="46" fontId="0" fillId="0" borderId="11" xfId="0" applyNumberFormat="1" applyBorder="1" applyAlignment="1" applyProtection="1">
      <alignment/>
      <protection/>
    </xf>
    <xf numFmtId="46" fontId="0" fillId="0" borderId="10" xfId="0" applyNumberFormat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13" fillId="0" borderId="0" xfId="0" applyFon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45" fontId="0" fillId="0" borderId="10" xfId="0" applyNumberFormat="1" applyBorder="1" applyAlignment="1">
      <alignment horizontal="center"/>
    </xf>
    <xf numFmtId="21" fontId="0" fillId="0" borderId="0" xfId="0" applyNumberFormat="1" applyAlignment="1">
      <alignment horizontal="center"/>
    </xf>
    <xf numFmtId="21" fontId="0" fillId="0" borderId="10" xfId="0" applyNumberFormat="1" applyBorder="1" applyAlignment="1">
      <alignment horizontal="center"/>
    </xf>
    <xf numFmtId="45" fontId="3" fillId="0" borderId="0" xfId="0" applyNumberFormat="1" applyFont="1" applyAlignment="1">
      <alignment/>
    </xf>
    <xf numFmtId="200" fontId="3" fillId="0" borderId="0" xfId="0" applyNumberFormat="1" applyFont="1" applyAlignment="1">
      <alignment/>
    </xf>
    <xf numFmtId="200" fontId="3" fillId="0" borderId="10" xfId="0" applyNumberFormat="1" applyFont="1" applyBorder="1" applyAlignment="1">
      <alignment/>
    </xf>
    <xf numFmtId="200" fontId="3" fillId="0" borderId="0" xfId="0" applyNumberFormat="1" applyFont="1" applyBorder="1" applyAlignment="1">
      <alignment/>
    </xf>
    <xf numFmtId="179" fontId="3" fillId="2" borderId="0" xfId="0" applyNumberFormat="1" applyFont="1" applyFill="1" applyAlignment="1">
      <alignment/>
    </xf>
    <xf numFmtId="46" fontId="3" fillId="2" borderId="0" xfId="0" applyNumberFormat="1" applyFont="1" applyFill="1" applyBorder="1" applyAlignment="1" applyProtection="1">
      <alignment/>
      <protection/>
    </xf>
    <xf numFmtId="200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200" fontId="3" fillId="2" borderId="0" xfId="0" applyNumberFormat="1" applyFont="1" applyFill="1" applyBorder="1" applyAlignment="1">
      <alignment/>
    </xf>
    <xf numFmtId="187" fontId="0" fillId="0" borderId="0" xfId="0" applyNumberFormat="1" applyAlignment="1">
      <alignment/>
    </xf>
    <xf numFmtId="45" fontId="22" fillId="0" borderId="0" xfId="0" applyNumberFormat="1" applyFont="1" applyAlignment="1">
      <alignment horizontal="center"/>
    </xf>
    <xf numFmtId="45" fontId="22" fillId="0" borderId="10" xfId="0" applyNumberFormat="1" applyFont="1" applyBorder="1" applyAlignment="1">
      <alignment horizontal="center"/>
    </xf>
    <xf numFmtId="45" fontId="23" fillId="0" borderId="0" xfId="0" applyNumberFormat="1" applyFont="1" applyAlignment="1">
      <alignment horizontal="center"/>
    </xf>
    <xf numFmtId="45" fontId="23" fillId="0" borderId="10" xfId="0" applyNumberFormat="1" applyFont="1" applyBorder="1" applyAlignment="1">
      <alignment horizontal="center"/>
    </xf>
    <xf numFmtId="45" fontId="23" fillId="0" borderId="0" xfId="0" applyNumberFormat="1" applyFont="1" applyBorder="1" applyAlignment="1">
      <alignment horizontal="center"/>
    </xf>
    <xf numFmtId="0" fontId="22" fillId="0" borderId="25" xfId="0" applyFont="1" applyBorder="1" applyAlignment="1">
      <alignment/>
    </xf>
    <xf numFmtId="45" fontId="23" fillId="0" borderId="26" xfId="0" applyNumberFormat="1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4" fillId="0" borderId="28" xfId="0" applyFont="1" applyBorder="1" applyAlignment="1">
      <alignment horizontal="right"/>
    </xf>
    <xf numFmtId="1" fontId="24" fillId="0" borderId="0" xfId="0" applyNumberFormat="1" applyFont="1" applyAlignment="1">
      <alignment/>
    </xf>
    <xf numFmtId="1" fontId="24" fillId="0" borderId="10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9" fillId="3" borderId="29" xfId="0" applyFont="1" applyFill="1" applyBorder="1" applyAlignment="1">
      <alignment/>
    </xf>
    <xf numFmtId="0" fontId="3" fillId="0" borderId="29" xfId="0" applyNumberFormat="1" applyFont="1" applyBorder="1" applyAlignment="1" applyProtection="1">
      <alignment/>
      <protection/>
    </xf>
    <xf numFmtId="0" fontId="18" fillId="0" borderId="29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9" xfId="0" applyFont="1" applyBorder="1" applyAlignment="1">
      <alignment/>
    </xf>
    <xf numFmtId="179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200" fontId="9" fillId="0" borderId="0" xfId="0" applyNumberFormat="1" applyFont="1" applyFill="1" applyBorder="1" applyAlignment="1">
      <alignment/>
    </xf>
    <xf numFmtId="0" fontId="9" fillId="3" borderId="9" xfId="0" applyFont="1" applyFill="1" applyBorder="1" applyAlignment="1">
      <alignment/>
    </xf>
    <xf numFmtId="179" fontId="18" fillId="0" borderId="29" xfId="0" applyNumberFormat="1" applyFont="1" applyBorder="1" applyAlignment="1">
      <alignment/>
    </xf>
    <xf numFmtId="0" fontId="3" fillId="3" borderId="29" xfId="0" applyNumberFormat="1" applyFont="1" applyFill="1" applyBorder="1" applyAlignment="1" applyProtection="1">
      <alignment/>
      <protection/>
    </xf>
    <xf numFmtId="0" fontId="9" fillId="0" borderId="29" xfId="0" applyFont="1" applyFill="1" applyBorder="1" applyAlignment="1">
      <alignment/>
    </xf>
    <xf numFmtId="186" fontId="3" fillId="0" borderId="8" xfId="0" applyNumberFormat="1" applyFont="1" applyBorder="1" applyAlignment="1">
      <alignment/>
    </xf>
    <xf numFmtId="186" fontId="9" fillId="3" borderId="15" xfId="0" applyNumberFormat="1" applyFont="1" applyFill="1" applyBorder="1" applyAlignment="1">
      <alignment/>
    </xf>
    <xf numFmtId="186" fontId="18" fillId="0" borderId="15" xfId="0" applyNumberFormat="1" applyFont="1" applyBorder="1" applyAlignment="1">
      <alignment/>
    </xf>
    <xf numFmtId="186" fontId="3" fillId="3" borderId="15" xfId="0" applyNumberFormat="1" applyFont="1" applyFill="1" applyBorder="1" applyAlignment="1">
      <alignment/>
    </xf>
    <xf numFmtId="186" fontId="9" fillId="0" borderId="15" xfId="0" applyNumberFormat="1" applyFont="1" applyFill="1" applyBorder="1" applyAlignment="1">
      <alignment/>
    </xf>
    <xf numFmtId="186" fontId="9" fillId="3" borderId="11" xfId="0" applyNumberFormat="1" applyFont="1" applyFill="1" applyBorder="1" applyAlignment="1">
      <alignment/>
    </xf>
    <xf numFmtId="186" fontId="3" fillId="0" borderId="15" xfId="0" applyNumberFormat="1" applyFont="1" applyBorder="1" applyAlignment="1">
      <alignment/>
    </xf>
    <xf numFmtId="186" fontId="3" fillId="0" borderId="11" xfId="0" applyNumberFormat="1" applyFont="1" applyBorder="1" applyAlignment="1">
      <alignment/>
    </xf>
    <xf numFmtId="46" fontId="9" fillId="0" borderId="0" xfId="0" applyNumberFormat="1" applyFont="1" applyBorder="1" applyAlignment="1">
      <alignment/>
    </xf>
    <xf numFmtId="45" fontId="9" fillId="0" borderId="0" xfId="0" applyNumberFormat="1" applyFont="1" applyFill="1" applyBorder="1" applyAlignment="1">
      <alignment/>
    </xf>
    <xf numFmtId="0" fontId="27" fillId="4" borderId="0" xfId="0" applyFont="1" applyFill="1" applyAlignment="1">
      <alignment/>
    </xf>
    <xf numFmtId="0" fontId="27" fillId="4" borderId="0" xfId="0" applyFont="1" applyFill="1" applyAlignment="1">
      <alignment horizontal="left" indent="1"/>
    </xf>
    <xf numFmtId="0" fontId="27" fillId="4" borderId="0" xfId="0" applyFont="1" applyFill="1" applyAlignment="1">
      <alignment horizontal="center"/>
    </xf>
    <xf numFmtId="0" fontId="27" fillId="5" borderId="0" xfId="0" applyFont="1" applyFill="1" applyAlignment="1">
      <alignment/>
    </xf>
    <xf numFmtId="0" fontId="27" fillId="4" borderId="0" xfId="0" applyFont="1" applyFill="1" applyAlignment="1">
      <alignment horizontal="left"/>
    </xf>
    <xf numFmtId="1" fontId="27" fillId="4" borderId="0" xfId="0" applyNumberFormat="1" applyFont="1" applyFill="1" applyAlignment="1">
      <alignment horizontal="center"/>
    </xf>
    <xf numFmtId="0" fontId="27" fillId="3" borderId="0" xfId="0" applyFont="1" applyFill="1" applyAlignment="1">
      <alignment/>
    </xf>
    <xf numFmtId="14" fontId="27" fillId="4" borderId="0" xfId="0" applyNumberFormat="1" applyFont="1" applyFill="1" applyAlignment="1">
      <alignment/>
    </xf>
    <xf numFmtId="0" fontId="27" fillId="4" borderId="30" xfId="0" applyFont="1" applyFill="1" applyBorder="1" applyAlignment="1">
      <alignment horizontal="centerContinuous" vertical="center"/>
    </xf>
    <xf numFmtId="0" fontId="27" fillId="4" borderId="31" xfId="0" applyFont="1" applyFill="1" applyBorder="1" applyAlignment="1">
      <alignment horizontal="centerContinuous" vertical="center"/>
    </xf>
    <xf numFmtId="0" fontId="27" fillId="4" borderId="0" xfId="0" applyFont="1" applyFill="1" applyAlignment="1">
      <alignment vertical="center"/>
    </xf>
    <xf numFmtId="0" fontId="27" fillId="4" borderId="0" xfId="0" applyFont="1" applyFill="1" applyBorder="1" applyAlignment="1">
      <alignment/>
    </xf>
    <xf numFmtId="0" fontId="32" fillId="4" borderId="0" xfId="18" applyFont="1" applyFill="1" applyBorder="1" applyAlignment="1">
      <alignment horizontal="left" vertical="top" indent="1"/>
    </xf>
    <xf numFmtId="0" fontId="27" fillId="4" borderId="0" xfId="0" applyFont="1" applyFill="1" applyAlignment="1">
      <alignment/>
    </xf>
    <xf numFmtId="0" fontId="27" fillId="4" borderId="0" xfId="0" applyFont="1" applyFill="1" applyBorder="1" applyAlignment="1">
      <alignment/>
    </xf>
    <xf numFmtId="0" fontId="27" fillId="4" borderId="32" xfId="0" applyFont="1" applyFill="1" applyBorder="1" applyAlignment="1">
      <alignment horizontal="center" vertical="center"/>
    </xf>
    <xf numFmtId="174" fontId="27" fillId="3" borderId="32" xfId="0" applyNumberFormat="1" applyFont="1" applyFill="1" applyBorder="1" applyAlignment="1">
      <alignment horizontal="center"/>
    </xf>
    <xf numFmtId="179" fontId="30" fillId="5" borderId="32" xfId="0" applyNumberFormat="1" applyFont="1" applyFill="1" applyBorder="1" applyAlignment="1">
      <alignment horizontal="center"/>
    </xf>
    <xf numFmtId="174" fontId="27" fillId="3" borderId="33" xfId="0" applyNumberFormat="1" applyFont="1" applyFill="1" applyBorder="1" applyAlignment="1">
      <alignment horizontal="center"/>
    </xf>
    <xf numFmtId="174" fontId="30" fillId="5" borderId="33" xfId="0" applyNumberFormat="1" applyFont="1" applyFill="1" applyBorder="1" applyAlignment="1">
      <alignment horizontal="center"/>
    </xf>
    <xf numFmtId="179" fontId="27" fillId="4" borderId="33" xfId="0" applyNumberFormat="1" applyFont="1" applyFill="1" applyBorder="1" applyAlignment="1">
      <alignment horizontal="center"/>
    </xf>
    <xf numFmtId="174" fontId="27" fillId="5" borderId="0" xfId="0" applyNumberFormat="1" applyFont="1" applyFill="1" applyBorder="1" applyAlignment="1">
      <alignment horizontal="center"/>
    </xf>
    <xf numFmtId="174" fontId="27" fillId="4" borderId="0" xfId="0" applyNumberFormat="1" applyFont="1" applyFill="1" applyAlignment="1">
      <alignment/>
    </xf>
    <xf numFmtId="174" fontId="27" fillId="3" borderId="12" xfId="0" applyNumberFormat="1" applyFont="1" applyFill="1" applyBorder="1" applyAlignment="1">
      <alignment horizontal="center"/>
    </xf>
    <xf numFmtId="179" fontId="30" fillId="5" borderId="14" xfId="0" applyNumberFormat="1" applyFont="1" applyFill="1" applyBorder="1" applyAlignment="1">
      <alignment horizontal="center"/>
    </xf>
    <xf numFmtId="174" fontId="30" fillId="5" borderId="14" xfId="0" applyNumberFormat="1" applyFont="1" applyFill="1" applyBorder="1" applyAlignment="1">
      <alignment horizontal="center"/>
    </xf>
    <xf numFmtId="179" fontId="27" fillId="4" borderId="32" xfId="0" applyNumberFormat="1" applyFont="1" applyFill="1" applyBorder="1" applyAlignment="1">
      <alignment horizontal="center"/>
    </xf>
    <xf numFmtId="179" fontId="30" fillId="5" borderId="13" xfId="0" applyNumberFormat="1" applyFont="1" applyFill="1" applyBorder="1" applyAlignment="1">
      <alignment horizontal="center"/>
    </xf>
    <xf numFmtId="174" fontId="30" fillId="5" borderId="13" xfId="0" applyNumberFormat="1" applyFont="1" applyFill="1" applyBorder="1" applyAlignment="1">
      <alignment horizontal="center"/>
    </xf>
    <xf numFmtId="174" fontId="30" fillId="5" borderId="32" xfId="0" applyNumberFormat="1" applyFont="1" applyFill="1" applyBorder="1" applyAlignment="1">
      <alignment horizontal="center"/>
    </xf>
    <xf numFmtId="174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174" fontId="30" fillId="0" borderId="0" xfId="0" applyNumberFormat="1" applyFont="1" applyFill="1" applyBorder="1" applyAlignment="1">
      <alignment horizontal="center"/>
    </xf>
    <xf numFmtId="179" fontId="27" fillId="4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4" fontId="27" fillId="3" borderId="0" xfId="0" applyNumberFormat="1" applyFont="1" applyFill="1" applyBorder="1" applyAlignment="1">
      <alignment horizontal="center"/>
    </xf>
    <xf numFmtId="179" fontId="34" fillId="4" borderId="0" xfId="0" applyNumberFormat="1" applyFont="1" applyFill="1" applyAlignment="1">
      <alignment horizontal="left"/>
    </xf>
    <xf numFmtId="0" fontId="27" fillId="4" borderId="0" xfId="0" applyFont="1" applyFill="1" applyAlignment="1" quotePrefix="1">
      <alignment/>
    </xf>
    <xf numFmtId="47" fontId="27" fillId="4" borderId="0" xfId="0" applyNumberFormat="1" applyFont="1" applyFill="1" applyAlignment="1">
      <alignment horizontal="left"/>
    </xf>
    <xf numFmtId="0" fontId="29" fillId="4" borderId="0" xfId="0" applyFont="1" applyFill="1" applyAlignment="1">
      <alignment/>
    </xf>
    <xf numFmtId="20" fontId="34" fillId="4" borderId="0" xfId="0" applyNumberFormat="1" applyFont="1" applyFill="1" applyAlignment="1">
      <alignment horizontal="left"/>
    </xf>
    <xf numFmtId="179" fontId="27" fillId="4" borderId="0" xfId="0" applyNumberFormat="1" applyFont="1" applyFill="1" applyAlignment="1">
      <alignment horizontal="left"/>
    </xf>
    <xf numFmtId="1" fontId="29" fillId="5" borderId="32" xfId="0" applyNumberFormat="1" applyFont="1" applyFill="1" applyBorder="1" applyAlignment="1" applyProtection="1">
      <alignment horizontal="center"/>
      <protection/>
    </xf>
    <xf numFmtId="202" fontId="29" fillId="3" borderId="32" xfId="0" applyNumberFormat="1" applyFont="1" applyFill="1" applyBorder="1" applyAlignment="1" applyProtection="1">
      <alignment horizontal="right"/>
      <protection/>
    </xf>
    <xf numFmtId="1" fontId="29" fillId="5" borderId="34" xfId="0" applyNumberFormat="1" applyFont="1" applyFill="1" applyBorder="1" applyAlignment="1" applyProtection="1">
      <alignment horizontal="center"/>
      <protection/>
    </xf>
    <xf numFmtId="202" fontId="29" fillId="3" borderId="34" xfId="0" applyNumberFormat="1" applyFont="1" applyFill="1" applyBorder="1" applyAlignment="1" applyProtection="1">
      <alignment horizontal="right"/>
      <protection/>
    </xf>
    <xf numFmtId="1" fontId="29" fillId="5" borderId="12" xfId="0" applyNumberFormat="1" applyFont="1" applyFill="1" applyBorder="1" applyAlignment="1" applyProtection="1">
      <alignment horizontal="center"/>
      <protection/>
    </xf>
    <xf numFmtId="202" fontId="29" fillId="3" borderId="12" xfId="0" applyNumberFormat="1" applyFont="1" applyFill="1" applyBorder="1" applyAlignment="1" applyProtection="1">
      <alignment horizontal="right"/>
      <protection/>
    </xf>
    <xf numFmtId="20" fontId="34" fillId="4" borderId="0" xfId="0" applyNumberFormat="1" applyFont="1" applyFill="1" applyBorder="1" applyAlignment="1">
      <alignment horizontal="left"/>
    </xf>
    <xf numFmtId="0" fontId="27" fillId="4" borderId="0" xfId="0" applyFont="1" applyFill="1" applyBorder="1" applyAlignment="1" quotePrefix="1">
      <alignment horizontal="center"/>
    </xf>
    <xf numFmtId="179" fontId="34" fillId="4" borderId="0" xfId="0" applyNumberFormat="1" applyFont="1" applyFill="1" applyBorder="1" applyAlignment="1">
      <alignment horizontal="left"/>
    </xf>
    <xf numFmtId="0" fontId="27" fillId="4" borderId="0" xfId="0" applyFont="1" applyFill="1" applyBorder="1" applyAlignment="1">
      <alignment horizontal="center"/>
    </xf>
    <xf numFmtId="0" fontId="27" fillId="4" borderId="35" xfId="0" applyFont="1" applyFill="1" applyBorder="1" applyAlignment="1">
      <alignment/>
    </xf>
    <xf numFmtId="0" fontId="27" fillId="4" borderId="23" xfId="0" applyFont="1" applyFill="1" applyBorder="1" applyAlignment="1">
      <alignment horizontal="center"/>
    </xf>
    <xf numFmtId="0" fontId="27" fillId="4" borderId="36" xfId="0" applyFont="1" applyFill="1" applyBorder="1" applyAlignment="1">
      <alignment/>
    </xf>
    <xf numFmtId="0" fontId="27" fillId="4" borderId="23" xfId="0" applyFont="1" applyFill="1" applyBorder="1" applyAlignment="1">
      <alignment/>
    </xf>
    <xf numFmtId="0" fontId="29" fillId="4" borderId="23" xfId="0" applyFont="1" applyFill="1" applyBorder="1" applyAlignment="1">
      <alignment/>
    </xf>
    <xf numFmtId="0" fontId="27" fillId="4" borderId="29" xfId="0" applyFont="1" applyFill="1" applyBorder="1" applyAlignment="1">
      <alignment/>
    </xf>
    <xf numFmtId="0" fontId="27" fillId="4" borderId="29" xfId="0" applyFont="1" applyFill="1" applyBorder="1" applyAlignment="1">
      <alignment horizontal="center"/>
    </xf>
    <xf numFmtId="0" fontId="27" fillId="4" borderId="15" xfId="0" applyFont="1" applyFill="1" applyBorder="1" applyAlignment="1">
      <alignment horizontal="center"/>
    </xf>
    <xf numFmtId="0" fontId="27" fillId="4" borderId="7" xfId="0" applyFont="1" applyFill="1" applyBorder="1" applyAlignment="1">
      <alignment horizontal="center"/>
    </xf>
    <xf numFmtId="0" fontId="27" fillId="4" borderId="29" xfId="0" applyFont="1" applyFill="1" applyBorder="1" applyAlignment="1" quotePrefix="1">
      <alignment/>
    </xf>
    <xf numFmtId="1" fontId="27" fillId="4" borderId="29" xfId="0" applyNumberFormat="1" applyFont="1" applyFill="1" applyBorder="1" applyAlignment="1">
      <alignment/>
    </xf>
    <xf numFmtId="1" fontId="27" fillId="4" borderId="15" xfId="0" applyNumberFormat="1" applyFont="1" applyFill="1" applyBorder="1" applyAlignment="1">
      <alignment/>
    </xf>
    <xf numFmtId="0" fontId="27" fillId="4" borderId="6" xfId="0" applyFont="1" applyFill="1" applyBorder="1" applyAlignment="1">
      <alignment/>
    </xf>
    <xf numFmtId="0" fontId="27" fillId="4" borderId="9" xfId="0" applyFont="1" applyFill="1" applyBorder="1" applyAlignment="1" quotePrefix="1">
      <alignment/>
    </xf>
    <xf numFmtId="0" fontId="27" fillId="4" borderId="10" xfId="0" applyFont="1" applyFill="1" applyBorder="1" applyAlignment="1">
      <alignment/>
    </xf>
    <xf numFmtId="0" fontId="27" fillId="4" borderId="11" xfId="0" applyFont="1" applyFill="1" applyBorder="1" applyAlignment="1">
      <alignment/>
    </xf>
    <xf numFmtId="1" fontId="27" fillId="4" borderId="9" xfId="0" applyNumberFormat="1" applyFont="1" applyFill="1" applyBorder="1" applyAlignment="1">
      <alignment/>
    </xf>
    <xf numFmtId="0" fontId="27" fillId="4" borderId="10" xfId="0" applyFont="1" applyFill="1" applyBorder="1" applyAlignment="1">
      <alignment horizontal="center"/>
    </xf>
    <xf numFmtId="1" fontId="27" fillId="4" borderId="11" xfId="0" applyNumberFormat="1" applyFont="1" applyFill="1" applyBorder="1" applyAlignment="1">
      <alignment/>
    </xf>
    <xf numFmtId="174" fontId="31" fillId="5" borderId="37" xfId="0" applyNumberFormat="1" applyFont="1" applyFill="1" applyBorder="1" applyAlignment="1" applyProtection="1">
      <alignment horizontal="center"/>
      <protection/>
    </xf>
    <xf numFmtId="174" fontId="31" fillId="5" borderId="38" xfId="0" applyNumberFormat="1" applyFont="1" applyFill="1" applyBorder="1" applyAlignment="1" applyProtection="1">
      <alignment horizontal="center"/>
      <protection/>
    </xf>
    <xf numFmtId="174" fontId="31" fillId="5" borderId="37" xfId="0" applyNumberFormat="1" applyFont="1" applyFill="1" applyBorder="1" applyAlignment="1" applyProtection="1" quotePrefix="1">
      <alignment horizontal="center"/>
      <protection/>
    </xf>
    <xf numFmtId="174" fontId="31" fillId="5" borderId="39" xfId="0" applyNumberFormat="1" applyFont="1" applyFill="1" applyBorder="1" applyAlignment="1" applyProtection="1">
      <alignment horizontal="center"/>
      <protection/>
    </xf>
    <xf numFmtId="174" fontId="31" fillId="5" borderId="40" xfId="0" applyNumberFormat="1" applyFont="1" applyFill="1" applyBorder="1" applyAlignment="1" applyProtection="1">
      <alignment horizontal="center"/>
      <protection/>
    </xf>
    <xf numFmtId="174" fontId="36" fillId="5" borderId="38" xfId="0" applyNumberFormat="1" applyFont="1" applyFill="1" applyBorder="1" applyAlignment="1" applyProtection="1">
      <alignment horizontal="center"/>
      <protection/>
    </xf>
    <xf numFmtId="196" fontId="35" fillId="5" borderId="41" xfId="0" applyNumberFormat="1" applyFont="1" applyFill="1" applyBorder="1" applyAlignment="1" applyProtection="1">
      <alignment horizontal="right"/>
      <protection/>
    </xf>
    <xf numFmtId="174" fontId="31" fillId="3" borderId="42" xfId="0" applyNumberFormat="1" applyFont="1" applyFill="1" applyBorder="1" applyAlignment="1" applyProtection="1">
      <alignment horizontal="center"/>
      <protection/>
    </xf>
    <xf numFmtId="174" fontId="31" fillId="3" borderId="43" xfId="0" applyNumberFormat="1" applyFont="1" applyFill="1" applyBorder="1" applyAlignment="1" applyProtection="1">
      <alignment horizontal="center"/>
      <protection/>
    </xf>
    <xf numFmtId="174" fontId="31" fillId="3" borderId="42" xfId="0" applyNumberFormat="1" applyFont="1" applyFill="1" applyBorder="1" applyAlignment="1" applyProtection="1" quotePrefix="1">
      <alignment horizontal="center"/>
      <protection/>
    </xf>
    <xf numFmtId="174" fontId="31" fillId="3" borderId="44" xfId="0" applyNumberFormat="1" applyFont="1" applyFill="1" applyBorder="1" applyAlignment="1" applyProtection="1">
      <alignment horizontal="center"/>
      <protection/>
    </xf>
    <xf numFmtId="174" fontId="31" fillId="3" borderId="45" xfId="0" applyNumberFormat="1" applyFont="1" applyFill="1" applyBorder="1" applyAlignment="1" applyProtection="1">
      <alignment horizontal="center"/>
      <protection/>
    </xf>
    <xf numFmtId="174" fontId="37" fillId="3" borderId="43" xfId="0" applyNumberFormat="1" applyFont="1" applyFill="1" applyBorder="1" applyAlignment="1" applyProtection="1">
      <alignment horizontal="center"/>
      <protection/>
    </xf>
    <xf numFmtId="196" fontId="35" fillId="3" borderId="24" xfId="0" applyNumberFormat="1" applyFont="1" applyFill="1" applyBorder="1" applyAlignment="1" applyProtection="1">
      <alignment horizontal="right"/>
      <protection/>
    </xf>
    <xf numFmtId="174" fontId="31" fillId="3" borderId="45" xfId="0" applyNumberFormat="1" applyFont="1" applyFill="1" applyBorder="1" applyAlignment="1" applyProtection="1">
      <alignment horizontal="left"/>
      <protection/>
    </xf>
    <xf numFmtId="174" fontId="31" fillId="3" borderId="44" xfId="0" applyNumberFormat="1" applyFont="1" applyFill="1" applyBorder="1" applyAlignment="1" applyProtection="1" quotePrefix="1">
      <alignment horizontal="center"/>
      <protection/>
    </xf>
    <xf numFmtId="174" fontId="36" fillId="3" borderId="43" xfId="0" applyNumberFormat="1" applyFont="1" applyFill="1" applyBorder="1" applyAlignment="1" applyProtection="1">
      <alignment horizontal="center"/>
      <protection/>
    </xf>
    <xf numFmtId="174" fontId="36" fillId="3" borderId="45" xfId="0" applyNumberFormat="1" applyFont="1" applyFill="1" applyBorder="1" applyAlignment="1" applyProtection="1">
      <alignment horizontal="center"/>
      <protection/>
    </xf>
    <xf numFmtId="196" fontId="35" fillId="3" borderId="46" xfId="0" applyNumberFormat="1" applyFont="1" applyFill="1" applyBorder="1" applyAlignment="1" applyProtection="1">
      <alignment horizontal="right"/>
      <protection/>
    </xf>
    <xf numFmtId="0" fontId="31" fillId="4" borderId="0" xfId="0" applyFont="1" applyFill="1" applyAlignment="1">
      <alignment/>
    </xf>
    <xf numFmtId="0" fontId="31" fillId="4" borderId="0" xfId="0" applyFont="1" applyFill="1" applyAlignment="1">
      <alignment horizontal="center"/>
    </xf>
    <xf numFmtId="177" fontId="35" fillId="5" borderId="12" xfId="0" applyNumberFormat="1" applyFont="1" applyFill="1" applyBorder="1" applyAlignment="1" applyProtection="1">
      <alignment horizontal="center"/>
      <protection/>
    </xf>
    <xf numFmtId="0" fontId="31" fillId="4" borderId="0" xfId="0" applyFont="1" applyFill="1" applyAlignment="1">
      <alignment horizontal="left"/>
    </xf>
    <xf numFmtId="179" fontId="35" fillId="5" borderId="32" xfId="0" applyNumberFormat="1" applyFont="1" applyFill="1" applyBorder="1" applyAlignment="1" applyProtection="1">
      <alignment horizontal="center"/>
      <protection/>
    </xf>
    <xf numFmtId="199" fontId="35" fillId="3" borderId="32" xfId="0" applyNumberFormat="1" applyFont="1" applyFill="1" applyBorder="1" applyAlignment="1">
      <alignment horizontal="center"/>
    </xf>
    <xf numFmtId="179" fontId="35" fillId="3" borderId="32" xfId="0" applyNumberFormat="1" applyFont="1" applyFill="1" applyBorder="1" applyAlignment="1">
      <alignment horizontal="center"/>
    </xf>
    <xf numFmtId="196" fontId="35" fillId="5" borderId="18" xfId="0" applyNumberFormat="1" applyFont="1" applyFill="1" applyBorder="1" applyAlignment="1" applyProtection="1">
      <alignment horizontal="right"/>
      <protection/>
    </xf>
    <xf numFmtId="174" fontId="31" fillId="3" borderId="47" xfId="0" applyNumberFormat="1" applyFont="1" applyFill="1" applyBorder="1" applyAlignment="1" applyProtection="1">
      <alignment horizontal="center"/>
      <protection/>
    </xf>
    <xf numFmtId="174" fontId="31" fillId="3" borderId="48" xfId="0" applyNumberFormat="1" applyFont="1" applyFill="1" applyBorder="1" applyAlignment="1" applyProtection="1">
      <alignment horizontal="center"/>
      <protection/>
    </xf>
    <xf numFmtId="174" fontId="31" fillId="3" borderId="47" xfId="0" applyNumberFormat="1" applyFont="1" applyFill="1" applyBorder="1" applyAlignment="1" applyProtection="1" quotePrefix="1">
      <alignment horizontal="center"/>
      <protection/>
    </xf>
    <xf numFmtId="174" fontId="37" fillId="3" borderId="48" xfId="0" applyNumberFormat="1" applyFont="1" applyFill="1" applyBorder="1" applyAlignment="1" applyProtection="1">
      <alignment horizontal="center"/>
      <protection/>
    </xf>
    <xf numFmtId="196" fontId="35" fillId="3" borderId="49" xfId="0" applyNumberFormat="1" applyFont="1" applyFill="1" applyBorder="1" applyAlignment="1" applyProtection="1">
      <alignment horizontal="right"/>
      <protection/>
    </xf>
    <xf numFmtId="179" fontId="37" fillId="3" borderId="9" xfId="0" applyNumberFormat="1" applyFont="1" applyFill="1" applyBorder="1" applyAlignment="1">
      <alignment horizontal="right" vertical="center"/>
    </xf>
    <xf numFmtId="179" fontId="37" fillId="5" borderId="50" xfId="0" applyNumberFormat="1" applyFont="1" applyFill="1" applyBorder="1" applyAlignment="1">
      <alignment horizontal="right" vertical="center"/>
    </xf>
    <xf numFmtId="179" fontId="37" fillId="5" borderId="29" xfId="0" applyNumberFormat="1" applyFont="1" applyFill="1" applyBorder="1" applyAlignment="1">
      <alignment horizontal="right" vertical="center"/>
    </xf>
    <xf numFmtId="179" fontId="37" fillId="3" borderId="51" xfId="0" applyNumberFormat="1" applyFont="1" applyFill="1" applyBorder="1" applyAlignment="1">
      <alignment horizontal="right" vertical="center"/>
    </xf>
    <xf numFmtId="179" fontId="37" fillId="3" borderId="52" xfId="0" applyNumberFormat="1" applyFont="1" applyFill="1" applyBorder="1" applyAlignment="1">
      <alignment horizontal="right" vertical="center"/>
    </xf>
    <xf numFmtId="0" fontId="31" fillId="4" borderId="29" xfId="0" applyFont="1" applyFill="1" applyBorder="1" applyAlignment="1">
      <alignment/>
    </xf>
    <xf numFmtId="0" fontId="31" fillId="4" borderId="9" xfId="0" applyFont="1" applyFill="1" applyBorder="1" applyAlignment="1">
      <alignment/>
    </xf>
    <xf numFmtId="0" fontId="31" fillId="4" borderId="53" xfId="0" applyFont="1" applyFill="1" applyBorder="1" applyAlignment="1">
      <alignment horizontal="left"/>
    </xf>
    <xf numFmtId="0" fontId="37" fillId="4" borderId="54" xfId="18" applyFont="1" applyFill="1" applyBorder="1" applyAlignment="1">
      <alignment horizontal="left" vertical="top"/>
    </xf>
    <xf numFmtId="0" fontId="31" fillId="4" borderId="55" xfId="0" applyFont="1" applyFill="1" applyBorder="1" applyAlignment="1">
      <alignment horizontal="left"/>
    </xf>
    <xf numFmtId="0" fontId="31" fillId="4" borderId="56" xfId="0" applyFont="1" applyFill="1" applyBorder="1" applyAlignment="1">
      <alignment horizontal="left" vertical="top"/>
    </xf>
    <xf numFmtId="0" fontId="33" fillId="4" borderId="56" xfId="0" applyFont="1" applyFill="1" applyBorder="1" applyAlignment="1">
      <alignment horizontal="left" vertical="top"/>
    </xf>
    <xf numFmtId="174" fontId="31" fillId="5" borderId="57" xfId="0" applyNumberFormat="1" applyFont="1" applyFill="1" applyBorder="1" applyAlignment="1" applyProtection="1">
      <alignment horizontal="center"/>
      <protection/>
    </xf>
    <xf numFmtId="174" fontId="31" fillId="5" borderId="58" xfId="0" applyNumberFormat="1" applyFont="1" applyFill="1" applyBorder="1" applyAlignment="1" applyProtection="1">
      <alignment horizontal="center"/>
      <protection/>
    </xf>
    <xf numFmtId="0" fontId="37" fillId="4" borderId="56" xfId="18" applyFont="1" applyFill="1" applyBorder="1" applyAlignment="1">
      <alignment horizontal="left" vertical="top"/>
    </xf>
    <xf numFmtId="20" fontId="31" fillId="4" borderId="53" xfId="0" applyNumberFormat="1" applyFont="1" applyFill="1" applyBorder="1" applyAlignment="1">
      <alignment horizontal="left"/>
    </xf>
    <xf numFmtId="174" fontId="31" fillId="3" borderId="42" xfId="0" applyNumberFormat="1" applyFont="1" applyFill="1" applyBorder="1" applyAlignment="1" applyProtection="1">
      <alignment horizontal="left"/>
      <protection/>
    </xf>
    <xf numFmtId="174" fontId="31" fillId="5" borderId="58" xfId="0" applyNumberFormat="1" applyFont="1" applyFill="1" applyBorder="1" applyAlignment="1" applyProtection="1">
      <alignment horizontal="right"/>
      <protection/>
    </xf>
    <xf numFmtId="174" fontId="31" fillId="5" borderId="37" xfId="0" applyNumberFormat="1" applyFont="1" applyFill="1" applyBorder="1" applyAlignment="1" applyProtection="1">
      <alignment horizontal="left"/>
      <protection/>
    </xf>
    <xf numFmtId="174" fontId="31" fillId="3" borderId="43" xfId="0" applyNumberFormat="1" applyFont="1" applyFill="1" applyBorder="1" applyAlignment="1" applyProtection="1">
      <alignment horizontal="left"/>
      <protection/>
    </xf>
    <xf numFmtId="0" fontId="27" fillId="4" borderId="59" xfId="0" applyFont="1" applyFill="1" applyBorder="1" applyAlignment="1">
      <alignment horizontal="centerContinuous" vertical="center"/>
    </xf>
    <xf numFmtId="0" fontId="27" fillId="4" borderId="60" xfId="0" applyFont="1" applyFill="1" applyBorder="1" applyAlignment="1">
      <alignment horizontal="centerContinuous" vertical="center"/>
    </xf>
    <xf numFmtId="0" fontId="27" fillId="4" borderId="61" xfId="0" applyFont="1" applyFill="1" applyBorder="1" applyAlignment="1">
      <alignment horizontal="centerContinuous" vertical="center"/>
    </xf>
    <xf numFmtId="174" fontId="31" fillId="3" borderId="42" xfId="0" applyNumberFormat="1" applyFont="1" applyFill="1" applyBorder="1" applyAlignment="1" applyProtection="1" quotePrefix="1">
      <alignment horizontal="left"/>
      <protection/>
    </xf>
    <xf numFmtId="0" fontId="38" fillId="4" borderId="0" xfId="18" applyFont="1" applyFill="1" applyAlignment="1">
      <alignment/>
    </xf>
    <xf numFmtId="0" fontId="31" fillId="4" borderId="53" xfId="0" applyFont="1" applyFill="1" applyBorder="1" applyAlignment="1" quotePrefix="1">
      <alignment horizontal="left"/>
    </xf>
    <xf numFmtId="20" fontId="27" fillId="4" borderId="0" xfId="0" applyNumberFormat="1" applyFont="1" applyFill="1" applyAlignment="1" quotePrefix="1">
      <alignment/>
    </xf>
    <xf numFmtId="45" fontId="3" fillId="0" borderId="0" xfId="0" applyNumberFormat="1" applyFont="1" applyBorder="1" applyAlignment="1" applyProtection="1">
      <alignment/>
      <protection/>
    </xf>
    <xf numFmtId="45" fontId="3" fillId="2" borderId="0" xfId="0" applyNumberFormat="1" applyFont="1" applyFill="1" applyBorder="1" applyAlignment="1" applyProtection="1">
      <alignment/>
      <protection/>
    </xf>
    <xf numFmtId="0" fontId="18" fillId="0" borderId="10" xfId="0" applyFont="1" applyBorder="1" applyAlignment="1">
      <alignment/>
    </xf>
    <xf numFmtId="45" fontId="18" fillId="0" borderId="10" xfId="0" applyNumberFormat="1" applyFont="1" applyBorder="1" applyAlignment="1" applyProtection="1">
      <alignment/>
      <protection/>
    </xf>
    <xf numFmtId="200" fontId="18" fillId="0" borderId="10" xfId="0" applyNumberFormat="1" applyFont="1" applyBorder="1" applyAlignment="1">
      <alignment/>
    </xf>
    <xf numFmtId="179" fontId="9" fillId="2" borderId="0" xfId="0" applyNumberFormat="1" applyFont="1" applyFill="1" applyAlignment="1">
      <alignment/>
    </xf>
    <xf numFmtId="45" fontId="9" fillId="2" borderId="0" xfId="0" applyNumberFormat="1" applyFont="1" applyFill="1" applyBorder="1" applyAlignment="1" applyProtection="1">
      <alignment/>
      <protection/>
    </xf>
    <xf numFmtId="200" fontId="9" fillId="2" borderId="0" xfId="0" applyNumberFormat="1" applyFont="1" applyFill="1" applyAlignment="1">
      <alignment/>
    </xf>
    <xf numFmtId="21" fontId="29" fillId="4" borderId="53" xfId="0" applyNumberFormat="1" applyFont="1" applyFill="1" applyBorder="1" applyAlignment="1">
      <alignment horizontal="left"/>
    </xf>
    <xf numFmtId="21" fontId="35" fillId="4" borderId="53" xfId="0" applyNumberFormat="1" applyFont="1" applyFill="1" applyBorder="1" applyAlignment="1">
      <alignment horizontal="left"/>
    </xf>
    <xf numFmtId="0" fontId="38" fillId="4" borderId="56" xfId="18" applyFont="1" applyFill="1" applyBorder="1" applyAlignment="1">
      <alignment horizontal="left" vertical="top"/>
    </xf>
    <xf numFmtId="0" fontId="27" fillId="4" borderId="62" xfId="0" applyFont="1" applyFill="1" applyBorder="1" applyAlignment="1">
      <alignment horizontal="centerContinuous" vertical="center" wrapText="1"/>
    </xf>
    <xf numFmtId="0" fontId="27" fillId="4" borderId="34" xfId="0" applyFont="1" applyFill="1" applyBorder="1" applyAlignment="1">
      <alignment horizontal="centerContinuous" vertical="center"/>
    </xf>
    <xf numFmtId="174" fontId="31" fillId="3" borderId="44" xfId="0" applyNumberFormat="1" applyFont="1" applyFill="1" applyBorder="1" applyAlignment="1" applyProtection="1">
      <alignment horizontal="left"/>
      <protection/>
    </xf>
    <xf numFmtId="21" fontId="31" fillId="4" borderId="53" xfId="0" applyNumberFormat="1" applyFont="1" applyFill="1" applyBorder="1" applyAlignment="1">
      <alignment horizontal="left"/>
    </xf>
    <xf numFmtId="184" fontId="11" fillId="0" borderId="0" xfId="0" applyNumberFormat="1" applyFont="1" applyAlignment="1">
      <alignment/>
    </xf>
    <xf numFmtId="174" fontId="31" fillId="5" borderId="37" xfId="0" applyNumberFormat="1" applyFont="1" applyFill="1" applyBorder="1" applyAlignment="1" applyProtection="1">
      <alignment horizontal="left"/>
      <protection/>
    </xf>
    <xf numFmtId="174" fontId="31" fillId="5" borderId="38" xfId="0" applyNumberFormat="1" applyFont="1" applyFill="1" applyBorder="1" applyAlignment="1" applyProtection="1">
      <alignment horizontal="left"/>
      <protection/>
    </xf>
    <xf numFmtId="177" fontId="35" fillId="5" borderId="63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/>
    </xf>
    <xf numFmtId="0" fontId="27" fillId="4" borderId="0" xfId="0" applyFont="1" applyFill="1" applyAlignment="1">
      <alignment horizontal="left" indent="1"/>
    </xf>
    <xf numFmtId="0" fontId="31" fillId="4" borderId="50" xfId="0" applyFont="1" applyFill="1" applyBorder="1" applyAlignment="1">
      <alignment/>
    </xf>
    <xf numFmtId="0" fontId="31" fillId="4" borderId="64" xfId="0" applyFont="1" applyFill="1" applyBorder="1" applyAlignment="1">
      <alignment/>
    </xf>
    <xf numFmtId="0" fontId="31" fillId="4" borderId="29" xfId="0" applyFont="1" applyFill="1" applyBorder="1" applyAlignment="1">
      <alignment/>
    </xf>
    <xf numFmtId="0" fontId="31" fillId="4" borderId="0" xfId="0" applyFont="1" applyFill="1" applyBorder="1" applyAlignment="1">
      <alignment/>
    </xf>
    <xf numFmtId="197" fontId="35" fillId="4" borderId="38" xfId="0" applyNumberFormat="1" applyFont="1" applyFill="1" applyBorder="1" applyAlignment="1" applyProtection="1">
      <alignment horizontal="center" vertical="center"/>
      <protection/>
    </xf>
    <xf numFmtId="197" fontId="35" fillId="4" borderId="43" xfId="0" applyNumberFormat="1" applyFont="1" applyFill="1" applyBorder="1" applyAlignment="1" applyProtection="1">
      <alignment horizontal="center" vertical="center"/>
      <protection/>
    </xf>
    <xf numFmtId="197" fontId="35" fillId="4" borderId="40" xfId="0" applyNumberFormat="1" applyFont="1" applyFill="1" applyBorder="1" applyAlignment="1" applyProtection="1">
      <alignment horizontal="center" vertical="center"/>
      <protection/>
    </xf>
    <xf numFmtId="177" fontId="35" fillId="5" borderId="65" xfId="0" applyNumberFormat="1" applyFont="1" applyFill="1" applyBorder="1" applyAlignment="1" applyProtection="1">
      <alignment horizontal="center" vertical="center"/>
      <protection/>
    </xf>
    <xf numFmtId="177" fontId="35" fillId="5" borderId="66" xfId="0" applyNumberFormat="1" applyFont="1" applyFill="1" applyBorder="1" applyAlignment="1" applyProtection="1">
      <alignment horizontal="center" vertical="center"/>
      <protection/>
    </xf>
    <xf numFmtId="177" fontId="35" fillId="5" borderId="67" xfId="0" applyNumberFormat="1" applyFont="1" applyFill="1" applyBorder="1" applyAlignment="1" applyProtection="1">
      <alignment horizontal="center" vertical="center"/>
      <protection/>
    </xf>
    <xf numFmtId="197" fontId="35" fillId="4" borderId="45" xfId="0" applyNumberFormat="1" applyFont="1" applyFill="1" applyBorder="1" applyAlignment="1" applyProtection="1">
      <alignment horizontal="center" vertical="center"/>
      <protection/>
    </xf>
    <xf numFmtId="14" fontId="27" fillId="4" borderId="0" xfId="0" applyNumberFormat="1" applyFont="1" applyFill="1" applyAlignment="1">
      <alignment horizontal="left"/>
    </xf>
    <xf numFmtId="0" fontId="27" fillId="4" borderId="68" xfId="0" applyFont="1" applyFill="1" applyBorder="1" applyAlignment="1">
      <alignment horizontal="center" vertical="center"/>
    </xf>
    <xf numFmtId="0" fontId="27" fillId="4" borderId="69" xfId="0" applyFont="1" applyFill="1" applyBorder="1" applyAlignment="1">
      <alignment horizontal="center" vertical="center"/>
    </xf>
    <xf numFmtId="0" fontId="27" fillId="4" borderId="70" xfId="0" applyFont="1" applyFill="1" applyBorder="1" applyAlignment="1">
      <alignment horizontal="center" vertical="center"/>
    </xf>
    <xf numFmtId="177" fontId="35" fillId="4" borderId="67" xfId="0" applyNumberFormat="1" applyFont="1" applyFill="1" applyBorder="1" applyAlignment="1" applyProtection="1">
      <alignment horizontal="center" vertical="center"/>
      <protection/>
    </xf>
    <xf numFmtId="177" fontId="35" fillId="4" borderId="71" xfId="0" applyNumberFormat="1" applyFont="1" applyFill="1" applyBorder="1" applyAlignment="1" applyProtection="1">
      <alignment horizontal="center" vertical="center"/>
      <protection/>
    </xf>
    <xf numFmtId="197" fontId="35" fillId="4" borderId="48" xfId="0" applyNumberFormat="1" applyFont="1" applyFill="1" applyBorder="1" applyAlignment="1" applyProtection="1">
      <alignment horizontal="center" vertical="center"/>
      <protection/>
    </xf>
    <xf numFmtId="177" fontId="35" fillId="4" borderId="66" xfId="0" applyNumberFormat="1" applyFont="1" applyFill="1" applyBorder="1" applyAlignment="1" applyProtection="1">
      <alignment horizontal="center" vertical="center"/>
      <protection/>
    </xf>
    <xf numFmtId="174" fontId="31" fillId="5" borderId="37" xfId="0" applyNumberFormat="1" applyFont="1" applyFill="1" applyBorder="1" applyAlignment="1" applyProtection="1">
      <alignment horizontal="center"/>
      <protection/>
    </xf>
    <xf numFmtId="174" fontId="31" fillId="5" borderId="38" xfId="0" applyNumberFormat="1" applyFont="1" applyFill="1" applyBorder="1" applyAlignment="1" applyProtection="1">
      <alignment horizontal="center"/>
      <protection/>
    </xf>
    <xf numFmtId="183" fontId="27" fillId="4" borderId="15" xfId="19" applyNumberFormat="1" applyFont="1" applyFill="1" applyBorder="1" applyAlignment="1">
      <alignment horizontal="center"/>
    </xf>
    <xf numFmtId="45" fontId="27" fillId="4" borderId="0" xfId="0" applyNumberFormat="1" applyFont="1" applyFill="1" applyBorder="1" applyAlignment="1">
      <alignment horizontal="center"/>
    </xf>
    <xf numFmtId="45" fontId="27" fillId="4" borderId="15" xfId="0" applyNumberFormat="1" applyFont="1" applyFill="1" applyBorder="1" applyAlignment="1">
      <alignment horizontal="center"/>
    </xf>
    <xf numFmtId="179" fontId="34" fillId="6" borderId="7" xfId="0" applyNumberFormat="1" applyFont="1" applyFill="1" applyBorder="1" applyAlignment="1">
      <alignment horizontal="center"/>
    </xf>
    <xf numFmtId="179" fontId="34" fillId="6" borderId="8" xfId="0" applyNumberFormat="1" applyFont="1" applyFill="1" applyBorder="1" applyAlignment="1">
      <alignment horizontal="center"/>
    </xf>
    <xf numFmtId="183" fontId="27" fillId="4" borderId="29" xfId="19" applyNumberFormat="1" applyFont="1" applyFill="1" applyBorder="1" applyAlignment="1">
      <alignment horizontal="left"/>
    </xf>
    <xf numFmtId="183" fontId="27" fillId="4" borderId="0" xfId="19" applyNumberFormat="1" applyFont="1" applyFill="1" applyBorder="1" applyAlignment="1">
      <alignment horizontal="left"/>
    </xf>
    <xf numFmtId="0" fontId="27" fillId="4" borderId="23" xfId="0" applyFont="1" applyFill="1" applyBorder="1" applyAlignment="1">
      <alignment horizontal="center"/>
    </xf>
    <xf numFmtId="0" fontId="27" fillId="4" borderId="36" xfId="0" applyFont="1" applyFill="1" applyBorder="1" applyAlignment="1">
      <alignment horizontal="center"/>
    </xf>
    <xf numFmtId="0" fontId="27" fillId="4" borderId="7" xfId="0" applyFont="1" applyFill="1" applyBorder="1" applyAlignment="1">
      <alignment horizontal="center"/>
    </xf>
    <xf numFmtId="0" fontId="27" fillId="4" borderId="8" xfId="0" applyFont="1" applyFill="1" applyBorder="1" applyAlignment="1">
      <alignment horizontal="center"/>
    </xf>
    <xf numFmtId="0" fontId="27" fillId="4" borderId="6" xfId="0" applyFont="1" applyFill="1" applyBorder="1" applyAlignment="1">
      <alignment horizontal="left"/>
    </xf>
    <xf numFmtId="0" fontId="27" fillId="4" borderId="7" xfId="0" applyFont="1" applyFill="1" applyBorder="1" applyAlignment="1">
      <alignment horizontal="left"/>
    </xf>
    <xf numFmtId="20" fontId="30" fillId="0" borderId="10" xfId="0" applyNumberFormat="1" applyFont="1" applyFill="1" applyBorder="1" applyAlignment="1">
      <alignment horizontal="center"/>
    </xf>
    <xf numFmtId="20" fontId="30" fillId="0" borderId="11" xfId="0" applyNumberFormat="1" applyFont="1" applyFill="1" applyBorder="1" applyAlignment="1">
      <alignment horizontal="center"/>
    </xf>
    <xf numFmtId="20" fontId="34" fillId="6" borderId="7" xfId="0" applyNumberFormat="1" applyFont="1" applyFill="1" applyBorder="1" applyAlignment="1">
      <alignment horizontal="center"/>
    </xf>
    <xf numFmtId="20" fontId="34" fillId="6" borderId="8" xfId="0" applyNumberFormat="1" applyFont="1" applyFill="1" applyBorder="1" applyAlignment="1">
      <alignment horizontal="center"/>
    </xf>
    <xf numFmtId="20" fontId="30" fillId="0" borderId="0" xfId="0" applyNumberFormat="1" applyFont="1" applyFill="1" applyBorder="1" applyAlignment="1">
      <alignment horizontal="center"/>
    </xf>
    <xf numFmtId="20" fontId="30" fillId="0" borderId="15" xfId="0" applyNumberFormat="1" applyFont="1" applyFill="1" applyBorder="1" applyAlignment="1">
      <alignment horizontal="center"/>
    </xf>
    <xf numFmtId="179" fontId="27" fillId="4" borderId="0" xfId="0" applyNumberFormat="1" applyFont="1" applyFill="1" applyBorder="1" applyAlignment="1">
      <alignment horizontal="center"/>
    </xf>
    <xf numFmtId="179" fontId="27" fillId="4" borderId="15" xfId="0" applyNumberFormat="1" applyFont="1" applyFill="1" applyBorder="1" applyAlignment="1">
      <alignment horizontal="center"/>
    </xf>
    <xf numFmtId="183" fontId="27" fillId="4" borderId="11" xfId="19" applyNumberFormat="1" applyFont="1" applyFill="1" applyBorder="1" applyAlignment="1">
      <alignment horizontal="center"/>
    </xf>
    <xf numFmtId="183" fontId="27" fillId="4" borderId="9" xfId="19" applyNumberFormat="1" applyFont="1" applyFill="1" applyBorder="1" applyAlignment="1">
      <alignment horizontal="left"/>
    </xf>
    <xf numFmtId="183" fontId="27" fillId="4" borderId="10" xfId="19" applyNumberFormat="1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Undefinier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2"/>
          <c:order val="0"/>
          <c:tx>
            <c:v>schedule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'training schedule'!$W$44:$W$55</c:f>
              <c:numCache/>
            </c:numRef>
          </c:cat>
          <c:val>
            <c:numRef>
              <c:f>'training schedule'!$AA$44:$AA$55</c:f>
              <c:numCache/>
            </c:numRef>
          </c:val>
        </c:ser>
        <c:ser>
          <c:idx val="0"/>
          <c:order val="1"/>
          <c:tx>
            <c:v>done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Pt>
            <c:idx val="17"/>
            <c:invertIfNegative val="0"/>
            <c:spPr>
              <a:solidFill>
                <a:srgbClr val="C0C0C0"/>
              </a:solidFill>
            </c:spPr>
          </c:dPt>
          <c:dPt>
            <c:idx val="18"/>
            <c:invertIfNegative val="0"/>
            <c:spPr>
              <a:solidFill>
                <a:srgbClr val="C0C0C0"/>
              </a:solidFill>
            </c:spPr>
          </c:dPt>
          <c:dPt>
            <c:idx val="19"/>
            <c:invertIfNegative val="0"/>
            <c:spPr>
              <a:solidFill>
                <a:srgbClr val="C0C0C0"/>
              </a:solidFill>
            </c:spPr>
          </c:dPt>
          <c:cat>
            <c:numRef>
              <c:f>'training schedule'!$W$44:$W$55</c:f>
              <c:numCache/>
            </c:numRef>
          </c:cat>
          <c:val>
            <c:numRef>
              <c:f>'training schedule'!$Z$44:$Z$55</c:f>
              <c:numCache/>
            </c:numRef>
          </c:val>
        </c:ser>
        <c:gapWidth val="30"/>
        <c:axId val="65743761"/>
        <c:axId val="54822938"/>
      </c:barChart>
      <c:lineChart>
        <c:grouping val="standard"/>
        <c:varyColors val="0"/>
        <c:ser>
          <c:idx val="1"/>
          <c:order val="2"/>
          <c:tx>
            <c:v>longest run schedule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FFFFCC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'training schedule'!$W$44:$W$55</c:f>
              <c:numCache/>
            </c:numRef>
          </c:cat>
          <c:val>
            <c:numRef>
              <c:f>'training schedule'!$Y$44:$Y$55</c:f>
              <c:numCache/>
            </c:numRef>
          </c:val>
          <c:smooth val="0"/>
        </c:ser>
        <c:ser>
          <c:idx val="3"/>
          <c:order val="3"/>
          <c:tx>
            <c:v>longest run done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'training schedule'!$W$44:$W$55</c:f>
              <c:numCache/>
            </c:numRef>
          </c:cat>
          <c:val>
            <c:numRef>
              <c:f>'training schedule'!$X$44:$X$55</c:f>
              <c:numCache/>
            </c:numRef>
          </c:val>
          <c:smooth val="0"/>
        </c:ser>
        <c:axId val="65743761"/>
        <c:axId val="54822938"/>
      </c:lineChart>
      <c:catAx>
        <c:axId val="65743761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822938"/>
        <c:crosses val="autoZero"/>
        <c:auto val="1"/>
        <c:lblOffset val="100"/>
        <c:noMultiLvlLbl val="0"/>
      </c:catAx>
      <c:valAx>
        <c:axId val="54822938"/>
        <c:scaling>
          <c:orientation val="minMax"/>
          <c:max val="8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6574376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7125"/>
          <c:y val="0"/>
          <c:w val="0.3175"/>
          <c:h val="0.182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275"/>
          <c:w val="0.97625"/>
          <c:h val="0.9535"/>
        </c:manualLayout>
      </c:layout>
      <c:lineChart>
        <c:grouping val="standard"/>
        <c:varyColors val="0"/>
        <c:ser>
          <c:idx val="0"/>
          <c:order val="0"/>
          <c:tx>
            <c:v>Ist-Tempo min/Meile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7"/>
              <c:delete val="1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80"/>
                        </a:solidFill>
                      </a:rPr>
                      <a:t>05:22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analysis!$A$28:$A$53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analysis!$D$28:$D$53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kum. Ist-Tempo min/Meile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analysis!$A$28:$A$53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analysis!$F$28:$F$53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Soll-Tempo Schnitt 7:35 min/Meile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analysis!$B$28:$B$53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23644395"/>
        <c:axId val="11472964"/>
      </c:lineChart>
      <c:lineChart>
        <c:grouping val="standard"/>
        <c:varyColors val="0"/>
        <c:ser>
          <c:idx val="3"/>
          <c:order val="2"/>
          <c:tx>
            <c:v>Puls HF/min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993300"/>
                        </a:solidFill>
                      </a:rPr>
                      <a:t/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3"/>
              <c:delete val="1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9933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"/>
              <c:pt idx="0">
                <c:v>Soll-Tempo Einteilung</c:v>
              </c:pt>
            </c:strLit>
          </c:cat>
          <c:val>
            <c:numRef>
              <c:f>analysis!$G$28:$G$53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36147813"/>
        <c:axId val="56894862"/>
      </c:lineChart>
      <c:catAx>
        <c:axId val="23644395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1472964"/>
        <c:crossesAt val="0.002777778"/>
        <c:auto val="1"/>
        <c:lblOffset val="100"/>
        <c:noMultiLvlLbl val="0"/>
      </c:catAx>
      <c:valAx>
        <c:axId val="11472964"/>
        <c:scaling>
          <c:orientation val="minMax"/>
          <c:max val="0.0059028"/>
          <c:min val="0.0046875"/>
        </c:scaling>
        <c:axPos val="l"/>
        <c:majorGridlines/>
        <c:delete val="0"/>
        <c:numFmt formatCode="mm:ss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3644395"/>
        <c:crossesAt val="1"/>
        <c:crossBetween val="midCat"/>
        <c:dispUnits/>
        <c:majorUnit val="0.0001736"/>
        <c:minorUnit val="0.0001736"/>
      </c:valAx>
      <c:catAx>
        <c:axId val="36147813"/>
        <c:scaling>
          <c:orientation val="minMax"/>
        </c:scaling>
        <c:axPos val="b"/>
        <c:delete val="1"/>
        <c:majorTickMark val="in"/>
        <c:minorTickMark val="none"/>
        <c:tickLblPos val="nextTo"/>
        <c:crossAx val="56894862"/>
        <c:crossesAt val="125"/>
        <c:auto val="1"/>
        <c:lblOffset val="100"/>
        <c:noMultiLvlLbl val="0"/>
      </c:catAx>
      <c:valAx>
        <c:axId val="56894862"/>
        <c:scaling>
          <c:orientation val="minMax"/>
          <c:max val="190"/>
          <c:min val="70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950" b="0" i="0" u="none" baseline="0"/>
            </a:pPr>
          </a:p>
        </c:txPr>
        <c:crossAx val="36147813"/>
        <c:crosses val="max"/>
        <c:crossBetween val="midCat"/>
        <c:dispUnits/>
        <c:majorUnit val="20"/>
        <c:minorUnit val="4"/>
      </c:valAx>
      <c:spPr>
        <a:noFill/>
      </c:spPr>
    </c:plotArea>
    <c:legend>
      <c:legendPos val="r"/>
      <c:layout>
        <c:manualLayout>
          <c:xMode val="edge"/>
          <c:yMode val="edge"/>
          <c:x val="0.555"/>
          <c:y val="0.082"/>
          <c:w val="0.37575"/>
          <c:h val="0.23925"/>
        </c:manualLayout>
      </c:layout>
      <c:overlay val="0"/>
      <c:spPr>
        <a:noFill/>
        <a:ln w="12700">
          <a:solidFill/>
        </a:ln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40</xdr:row>
      <xdr:rowOff>0</xdr:rowOff>
    </xdr:from>
    <xdr:to>
      <xdr:col>16</xdr:col>
      <xdr:colOff>238125</xdr:colOff>
      <xdr:row>57</xdr:row>
      <xdr:rowOff>104775</xdr:rowOff>
    </xdr:to>
    <xdr:graphicFrame>
      <xdr:nvGraphicFramePr>
        <xdr:cNvPr id="1" name="Chart 1"/>
        <xdr:cNvGraphicFramePr/>
      </xdr:nvGraphicFramePr>
      <xdr:xfrm>
        <a:off x="390525" y="4229100"/>
        <a:ext cx="44958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9</xdr:col>
      <xdr:colOff>1000125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0" y="161925"/>
        <a:ext cx="736282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edtirol-marathon.eu/" TargetMode="External" /><Relationship Id="rId2" Type="http://schemas.openxmlformats.org/officeDocument/2006/relationships/hyperlink" Target="http://www.triwit.de/" TargetMode="External" /><Relationship Id="rId3" Type="http://schemas.openxmlformats.org/officeDocument/2006/relationships/hyperlink" Target="http://www.nycmarathon.org/home/index.php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HW75"/>
  <sheetViews>
    <sheetView showGridLines="0" tabSelected="1" workbookViewId="0" topLeftCell="A1">
      <selection activeCell="B3" sqref="B3"/>
    </sheetView>
  </sheetViews>
  <sheetFormatPr defaultColWidth="9.77734375" defaultRowHeight="15"/>
  <cols>
    <col min="1" max="1" width="1.2265625" style="114" customWidth="1"/>
    <col min="2" max="2" width="3.21484375" style="116" bestFit="1" customWidth="1"/>
    <col min="3" max="4" width="5.77734375" style="114" customWidth="1"/>
    <col min="5" max="5" width="4.21484375" style="114" customWidth="1"/>
    <col min="6" max="6" width="1.77734375" style="116" customWidth="1"/>
    <col min="7" max="7" width="4.10546875" style="114" bestFit="1" customWidth="1"/>
    <col min="8" max="8" width="2.3359375" style="116" customWidth="1"/>
    <col min="9" max="9" width="4.10546875" style="114" customWidth="1"/>
    <col min="10" max="10" width="2.3359375" style="116" customWidth="1"/>
    <col min="11" max="11" width="4.10546875" style="114" customWidth="1"/>
    <col min="12" max="12" width="2.3359375" style="116" customWidth="1"/>
    <col min="13" max="13" width="4.10546875" style="114" customWidth="1"/>
    <col min="14" max="14" width="2.3359375" style="116" customWidth="1"/>
    <col min="15" max="15" width="4.10546875" style="114" customWidth="1"/>
    <col min="16" max="16" width="2.3359375" style="116" customWidth="1"/>
    <col min="17" max="17" width="4.10546875" style="114" customWidth="1"/>
    <col min="18" max="18" width="2.3359375" style="116" customWidth="1"/>
    <col min="19" max="19" width="6.21484375" style="114" customWidth="1"/>
    <col min="20" max="20" width="3.77734375" style="114" customWidth="1"/>
    <col min="21" max="21" width="16.10546875" style="114" customWidth="1"/>
    <col min="22" max="22" width="29.3359375" style="114" customWidth="1"/>
    <col min="23" max="23" width="3.99609375" style="114" customWidth="1"/>
    <col min="24" max="29" width="9.77734375" style="114" customWidth="1"/>
    <col min="30" max="32" width="4.6640625" style="114" bestFit="1" customWidth="1"/>
    <col min="33" max="33" width="4.99609375" style="114" bestFit="1" customWidth="1"/>
    <col min="34" max="34" width="4.6640625" style="114" bestFit="1" customWidth="1"/>
    <col min="35" max="36" width="5.88671875" style="114" bestFit="1" customWidth="1"/>
    <col min="37" max="37" width="4.6640625" style="114" bestFit="1" customWidth="1"/>
    <col min="38" max="38" width="9.88671875" style="114" customWidth="1"/>
    <col min="39" max="45" width="4.10546875" style="114" bestFit="1" customWidth="1"/>
    <col min="46" max="16384" width="9.77734375" style="114" customWidth="1"/>
  </cols>
  <sheetData>
    <row r="1" spans="2:24" ht="12.75">
      <c r="B1" s="115" t="s">
        <v>91</v>
      </c>
      <c r="I1" s="114" t="s">
        <v>87</v>
      </c>
      <c r="K1" s="243" t="s">
        <v>88</v>
      </c>
      <c r="R1" s="114"/>
      <c r="U1" s="117" t="s">
        <v>92</v>
      </c>
      <c r="X1" s="114" t="s">
        <v>58</v>
      </c>
    </row>
    <row r="2" spans="2:25" ht="12.75">
      <c r="B2" s="115" t="s">
        <v>18</v>
      </c>
      <c r="D2" s="276">
        <f ca="1">TODAY()-1</f>
        <v>39393</v>
      </c>
      <c r="E2" s="276"/>
      <c r="H2" s="114"/>
      <c r="I2" s="118" t="s">
        <v>19</v>
      </c>
      <c r="J2" s="114"/>
      <c r="K2" s="119">
        <f>+X2-D2</f>
        <v>-3</v>
      </c>
      <c r="L2" s="114" t="s">
        <v>20</v>
      </c>
      <c r="N2" s="114"/>
      <c r="R2" s="114"/>
      <c r="U2" s="120" t="s">
        <v>21</v>
      </c>
      <c r="X2" s="121">
        <v>39390</v>
      </c>
      <c r="Y2" s="121"/>
    </row>
    <row r="3" ht="12.75">
      <c r="B3" s="115"/>
    </row>
    <row r="4" spans="2:21" ht="15.75" customHeight="1">
      <c r="B4" s="264" t="s">
        <v>77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41"/>
    </row>
    <row r="5" ht="7.5" customHeight="1">
      <c r="B5" s="115"/>
    </row>
    <row r="6" spans="2:231" ht="19.5" customHeight="1" thickBot="1">
      <c r="B6" s="277" t="s">
        <v>1</v>
      </c>
      <c r="C6" s="278"/>
      <c r="D6" s="279"/>
      <c r="E6" s="122" t="s">
        <v>2</v>
      </c>
      <c r="F6" s="123"/>
      <c r="G6" s="122" t="s">
        <v>3</v>
      </c>
      <c r="H6" s="123"/>
      <c r="I6" s="122" t="s">
        <v>4</v>
      </c>
      <c r="J6" s="123"/>
      <c r="K6" s="122" t="s">
        <v>5</v>
      </c>
      <c r="L6" s="237"/>
      <c r="M6" s="238" t="s">
        <v>6</v>
      </c>
      <c r="N6" s="239"/>
      <c r="O6" s="237" t="s">
        <v>7</v>
      </c>
      <c r="P6" s="123"/>
      <c r="Q6" s="122" t="s">
        <v>8</v>
      </c>
      <c r="R6" s="123"/>
      <c r="S6" s="255" t="s">
        <v>31</v>
      </c>
      <c r="T6" s="256" t="s">
        <v>56</v>
      </c>
      <c r="U6" s="124"/>
      <c r="W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</row>
    <row r="7" spans="2:231" ht="12" customHeight="1" hidden="1">
      <c r="B7" s="280">
        <v>15</v>
      </c>
      <c r="C7" s="269">
        <f>+C9-7</f>
        <v>39286</v>
      </c>
      <c r="D7" s="269">
        <f>+D9-7</f>
        <v>39292</v>
      </c>
      <c r="E7" s="185"/>
      <c r="F7" s="186"/>
      <c r="G7" s="185"/>
      <c r="H7" s="186"/>
      <c r="I7" s="185"/>
      <c r="J7" s="186"/>
      <c r="K7" s="185"/>
      <c r="L7" s="186"/>
      <c r="M7" s="188"/>
      <c r="N7" s="189"/>
      <c r="O7" s="185"/>
      <c r="P7" s="186"/>
      <c r="Q7" s="185"/>
      <c r="R7" s="186"/>
      <c r="S7" s="191">
        <f aca="true" t="shared" si="0" ref="S7:S12">SUM(E7:Q7)</f>
        <v>0</v>
      </c>
      <c r="T7" s="218">
        <v>66.6</v>
      </c>
      <c r="U7" s="225"/>
      <c r="W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</row>
    <row r="8" spans="2:231" ht="12" customHeight="1" hidden="1" thickBot="1">
      <c r="B8" s="283"/>
      <c r="C8" s="270"/>
      <c r="D8" s="270"/>
      <c r="E8" s="192"/>
      <c r="F8" s="193"/>
      <c r="G8" s="192"/>
      <c r="H8" s="193"/>
      <c r="I8" s="194"/>
      <c r="J8" s="193"/>
      <c r="K8" s="192"/>
      <c r="L8" s="193"/>
      <c r="M8" s="195"/>
      <c r="N8" s="196"/>
      <c r="O8" s="192"/>
      <c r="P8" s="193"/>
      <c r="Q8" s="192"/>
      <c r="R8" s="197"/>
      <c r="S8" s="198">
        <f t="shared" si="0"/>
        <v>0</v>
      </c>
      <c r="T8" s="217"/>
      <c r="U8" s="224"/>
      <c r="V8" s="125"/>
      <c r="W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</row>
    <row r="9" spans="2:231" ht="12" customHeight="1" hidden="1">
      <c r="B9" s="280">
        <v>14</v>
      </c>
      <c r="C9" s="269">
        <f>+C11-7</f>
        <v>39293</v>
      </c>
      <c r="D9" s="269">
        <f>+D11-7</f>
        <v>39299</v>
      </c>
      <c r="E9" s="284"/>
      <c r="F9" s="285"/>
      <c r="G9" s="185"/>
      <c r="H9" s="186"/>
      <c r="I9" s="187"/>
      <c r="J9" s="186"/>
      <c r="K9" s="260"/>
      <c r="L9" s="261"/>
      <c r="M9" s="188"/>
      <c r="N9" s="189"/>
      <c r="O9" s="235"/>
      <c r="P9" s="186"/>
      <c r="Q9" s="185"/>
      <c r="R9" s="186"/>
      <c r="S9" s="191">
        <f t="shared" si="0"/>
        <v>0</v>
      </c>
      <c r="T9" s="218">
        <v>66</v>
      </c>
      <c r="U9" s="225"/>
      <c r="V9" s="126"/>
      <c r="W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</row>
    <row r="10" spans="2:231" ht="12" customHeight="1" hidden="1" thickBot="1">
      <c r="B10" s="283"/>
      <c r="C10" s="270"/>
      <c r="D10" s="270"/>
      <c r="E10" s="233"/>
      <c r="F10" s="236"/>
      <c r="G10" s="194"/>
      <c r="H10" s="193"/>
      <c r="I10" s="194"/>
      <c r="J10" s="193"/>
      <c r="K10" s="192"/>
      <c r="L10" s="193"/>
      <c r="M10" s="195"/>
      <c r="N10" s="196"/>
      <c r="O10" s="233"/>
      <c r="P10" s="193"/>
      <c r="Q10" s="192"/>
      <c r="R10" s="197"/>
      <c r="S10" s="198">
        <f t="shared" si="0"/>
        <v>0</v>
      </c>
      <c r="T10" s="217"/>
      <c r="U10" s="224"/>
      <c r="W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4"/>
      <c r="HS10" s="124"/>
      <c r="HT10" s="124"/>
      <c r="HU10" s="124"/>
      <c r="HV10" s="124"/>
      <c r="HW10" s="124"/>
    </row>
    <row r="11" spans="2:22" s="127" customFormat="1" ht="12" customHeight="1" hidden="1">
      <c r="B11" s="280">
        <v>13</v>
      </c>
      <c r="C11" s="269">
        <f>+C13-7</f>
        <v>39300</v>
      </c>
      <c r="D11" s="269">
        <f>+D13-7</f>
        <v>39306</v>
      </c>
      <c r="E11" s="185"/>
      <c r="F11" s="186"/>
      <c r="G11" s="185"/>
      <c r="H11" s="190"/>
      <c r="I11" s="187"/>
      <c r="J11" s="186"/>
      <c r="K11" s="185"/>
      <c r="L11" s="186"/>
      <c r="M11" s="185"/>
      <c r="N11" s="186"/>
      <c r="O11" s="284"/>
      <c r="P11" s="285"/>
      <c r="Q11" s="185"/>
      <c r="R11" s="186"/>
      <c r="S11" s="191">
        <f t="shared" si="0"/>
        <v>0</v>
      </c>
      <c r="T11" s="218"/>
      <c r="U11" s="225"/>
      <c r="V11" s="128"/>
    </row>
    <row r="12" spans="2:22" s="127" customFormat="1" ht="12" customHeight="1" hidden="1" thickBot="1">
      <c r="B12" s="281"/>
      <c r="C12" s="282"/>
      <c r="D12" s="282"/>
      <c r="E12" s="212"/>
      <c r="F12" s="213"/>
      <c r="G12" s="214"/>
      <c r="H12" s="213"/>
      <c r="I12" s="212"/>
      <c r="J12" s="213"/>
      <c r="K12" s="212"/>
      <c r="L12" s="213"/>
      <c r="M12" s="212"/>
      <c r="N12" s="213"/>
      <c r="O12" s="212"/>
      <c r="P12" s="213"/>
      <c r="Q12" s="212"/>
      <c r="R12" s="215"/>
      <c r="S12" s="216">
        <f t="shared" si="0"/>
        <v>0</v>
      </c>
      <c r="T12" s="220"/>
      <c r="U12" s="226"/>
      <c r="V12" s="128"/>
    </row>
    <row r="13" spans="2:22" s="127" customFormat="1" ht="12" customHeight="1" hidden="1" thickTop="1">
      <c r="B13" s="272">
        <v>12</v>
      </c>
      <c r="C13" s="271">
        <f>+C15-7</f>
        <v>39307</v>
      </c>
      <c r="D13" s="271">
        <f>+D15-7</f>
        <v>39313</v>
      </c>
      <c r="E13" s="188"/>
      <c r="F13" s="189"/>
      <c r="G13" s="188"/>
      <c r="H13" s="189"/>
      <c r="I13" s="188"/>
      <c r="J13" s="189"/>
      <c r="K13" s="188"/>
      <c r="L13" s="189"/>
      <c r="M13" s="188"/>
      <c r="N13" s="189"/>
      <c r="O13" s="229"/>
      <c r="P13" s="230"/>
      <c r="Q13" s="229"/>
      <c r="R13" s="234"/>
      <c r="S13" s="211">
        <f aca="true" t="shared" si="1" ref="S13:S36">SUM(E13:Q13)</f>
        <v>0</v>
      </c>
      <c r="T13" s="219"/>
      <c r="U13" s="227"/>
      <c r="V13" s="128"/>
    </row>
    <row r="14" spans="2:22" s="127" customFormat="1" ht="12" customHeight="1" hidden="1" thickBot="1">
      <c r="B14" s="273"/>
      <c r="C14" s="270"/>
      <c r="D14" s="270"/>
      <c r="E14" s="192"/>
      <c r="F14" s="193"/>
      <c r="G14" s="192"/>
      <c r="H14" s="193"/>
      <c r="I14" s="192"/>
      <c r="J14" s="193"/>
      <c r="K14" s="192"/>
      <c r="L14" s="193"/>
      <c r="M14" s="195"/>
      <c r="N14" s="199"/>
      <c r="O14" s="192"/>
      <c r="P14" s="193"/>
      <c r="Q14" s="192"/>
      <c r="R14" s="197"/>
      <c r="S14" s="198">
        <f t="shared" si="1"/>
        <v>0</v>
      </c>
      <c r="T14" s="217"/>
      <c r="U14" s="224"/>
      <c r="V14" s="128"/>
    </row>
    <row r="15" spans="2:22" s="127" customFormat="1" ht="12" customHeight="1" hidden="1">
      <c r="B15" s="274">
        <v>11</v>
      </c>
      <c r="C15" s="269">
        <f>+C17-7</f>
        <v>39314</v>
      </c>
      <c r="D15" s="269">
        <f>+D17-7</f>
        <v>39320</v>
      </c>
      <c r="E15" s="185"/>
      <c r="F15" s="186"/>
      <c r="G15" s="187"/>
      <c r="H15" s="186"/>
      <c r="I15" s="187"/>
      <c r="J15" s="186"/>
      <c r="K15" s="185"/>
      <c r="L15" s="186"/>
      <c r="M15" s="188"/>
      <c r="N15" s="189"/>
      <c r="O15" s="187"/>
      <c r="P15" s="186"/>
      <c r="Q15" s="185"/>
      <c r="R15" s="190"/>
      <c r="S15" s="191">
        <f t="shared" si="1"/>
        <v>0</v>
      </c>
      <c r="T15" s="218"/>
      <c r="U15" s="225"/>
      <c r="V15" s="128"/>
    </row>
    <row r="16" spans="2:22" s="127" customFormat="1" ht="12" customHeight="1" hidden="1" thickBot="1">
      <c r="B16" s="273"/>
      <c r="C16" s="275"/>
      <c r="D16" s="275"/>
      <c r="E16" s="192"/>
      <c r="F16" s="193"/>
      <c r="G16" s="194"/>
      <c r="H16" s="193"/>
      <c r="I16" s="194"/>
      <c r="J16" s="193"/>
      <c r="K16" s="192"/>
      <c r="L16" s="193"/>
      <c r="M16" s="200"/>
      <c r="N16" s="196"/>
      <c r="O16" s="194"/>
      <c r="P16" s="193"/>
      <c r="Q16" s="192"/>
      <c r="R16" s="201"/>
      <c r="S16" s="203">
        <f t="shared" si="1"/>
        <v>0</v>
      </c>
      <c r="T16" s="221"/>
      <c r="U16" s="224"/>
      <c r="V16" s="128"/>
    </row>
    <row r="17" spans="2:22" s="127" customFormat="1" ht="12" customHeight="1" hidden="1">
      <c r="B17" s="272">
        <v>10</v>
      </c>
      <c r="C17" s="271">
        <f>+C19-7</f>
        <v>39321</v>
      </c>
      <c r="D17" s="271">
        <f>+D19-7</f>
        <v>39327</v>
      </c>
      <c r="E17" s="185"/>
      <c r="F17" s="186"/>
      <c r="G17" s="187"/>
      <c r="H17" s="186"/>
      <c r="I17" s="187"/>
      <c r="J17" s="186"/>
      <c r="K17" s="235" t="s">
        <v>82</v>
      </c>
      <c r="L17" s="186"/>
      <c r="M17" s="188"/>
      <c r="N17" s="189"/>
      <c r="O17" s="187"/>
      <c r="P17" s="186"/>
      <c r="Q17" s="185"/>
      <c r="R17" s="190"/>
      <c r="S17" s="211">
        <f t="shared" si="1"/>
        <v>0</v>
      </c>
      <c r="T17" s="219"/>
      <c r="U17" s="227"/>
      <c r="V17" s="128"/>
    </row>
    <row r="18" spans="2:22" s="127" customFormat="1" ht="12" customHeight="1" hidden="1" thickBot="1">
      <c r="B18" s="262"/>
      <c r="C18" s="275"/>
      <c r="D18" s="275"/>
      <c r="E18" s="192"/>
      <c r="F18" s="193"/>
      <c r="G18" s="194"/>
      <c r="H18" s="193"/>
      <c r="I18" s="194"/>
      <c r="J18" s="193"/>
      <c r="K18" s="192"/>
      <c r="L18" s="193"/>
      <c r="M18" s="200"/>
      <c r="N18" s="196"/>
      <c r="O18" s="194"/>
      <c r="P18" s="193"/>
      <c r="Q18" s="192"/>
      <c r="R18" s="201"/>
      <c r="S18" s="203">
        <f t="shared" si="1"/>
        <v>0</v>
      </c>
      <c r="T18" s="221"/>
      <c r="U18" s="224"/>
      <c r="V18" s="128"/>
    </row>
    <row r="19" spans="2:22" s="127" customFormat="1" ht="12" customHeight="1" hidden="1">
      <c r="B19" s="272">
        <v>9</v>
      </c>
      <c r="C19" s="271">
        <f>+C21-7</f>
        <v>39328</v>
      </c>
      <c r="D19" s="271">
        <f>+D21-7</f>
        <v>39334</v>
      </c>
      <c r="E19" s="185"/>
      <c r="F19" s="186"/>
      <c r="G19" s="187"/>
      <c r="H19" s="186"/>
      <c r="I19" s="187"/>
      <c r="J19" s="186"/>
      <c r="K19" s="185"/>
      <c r="L19" s="186"/>
      <c r="M19" s="188"/>
      <c r="N19" s="189"/>
      <c r="O19" s="187"/>
      <c r="P19" s="186"/>
      <c r="Q19" s="185"/>
      <c r="R19" s="190"/>
      <c r="S19" s="211">
        <f t="shared" si="1"/>
        <v>0</v>
      </c>
      <c r="T19" s="219"/>
      <c r="U19" s="227"/>
      <c r="V19" s="128"/>
    </row>
    <row r="20" spans="2:22" s="127" customFormat="1" ht="12" customHeight="1" hidden="1" thickBot="1">
      <c r="B20" s="262"/>
      <c r="C20" s="275"/>
      <c r="D20" s="275"/>
      <c r="E20" s="192"/>
      <c r="F20" s="193"/>
      <c r="G20" s="194"/>
      <c r="H20" s="193"/>
      <c r="I20" s="194"/>
      <c r="J20" s="193"/>
      <c r="K20" s="192"/>
      <c r="L20" s="193"/>
      <c r="M20" s="200"/>
      <c r="N20" s="196"/>
      <c r="O20" s="194"/>
      <c r="P20" s="193"/>
      <c r="Q20" s="192"/>
      <c r="R20" s="201"/>
      <c r="S20" s="203">
        <f t="shared" si="1"/>
        <v>0</v>
      </c>
      <c r="T20" s="221"/>
      <c r="U20" s="224"/>
      <c r="V20" s="128"/>
    </row>
    <row r="21" spans="2:22" s="127" customFormat="1" ht="12" customHeight="1">
      <c r="B21" s="272">
        <v>8</v>
      </c>
      <c r="C21" s="271">
        <f>+C23-7</f>
        <v>39335</v>
      </c>
      <c r="D21" s="271">
        <f>+D23-7</f>
        <v>39341</v>
      </c>
      <c r="E21" s="185">
        <v>10.1</v>
      </c>
      <c r="F21" s="186"/>
      <c r="G21" s="187"/>
      <c r="H21" s="186"/>
      <c r="I21" s="187"/>
      <c r="J21" s="186"/>
      <c r="K21" s="185"/>
      <c r="L21" s="186"/>
      <c r="M21" s="188">
        <v>13.5</v>
      </c>
      <c r="N21" s="189"/>
      <c r="O21" s="235"/>
      <c r="P21" s="186"/>
      <c r="Q21" s="185">
        <v>10.4</v>
      </c>
      <c r="R21" s="190"/>
      <c r="S21" s="211">
        <f t="shared" si="1"/>
        <v>34</v>
      </c>
      <c r="T21" s="219"/>
      <c r="U21" s="225"/>
      <c r="V21" s="128"/>
    </row>
    <row r="22" spans="2:22" s="127" customFormat="1" ht="12" customHeight="1" thickBot="1">
      <c r="B22" s="273"/>
      <c r="C22" s="270"/>
      <c r="D22" s="270"/>
      <c r="E22" s="192">
        <v>10.1</v>
      </c>
      <c r="F22" s="193" t="s">
        <v>83</v>
      </c>
      <c r="G22" s="194"/>
      <c r="H22" s="193"/>
      <c r="I22" s="194"/>
      <c r="J22" s="193"/>
      <c r="K22" s="192"/>
      <c r="L22" s="193"/>
      <c r="M22" s="200">
        <v>13.5</v>
      </c>
      <c r="N22" s="196" t="s">
        <v>86</v>
      </c>
      <c r="O22" s="240"/>
      <c r="P22" s="193"/>
      <c r="Q22" s="192">
        <v>10.4</v>
      </c>
      <c r="R22" s="201" t="s">
        <v>0</v>
      </c>
      <c r="S22" s="198">
        <f t="shared" si="1"/>
        <v>34</v>
      </c>
      <c r="T22" s="217"/>
      <c r="U22" s="253"/>
      <c r="V22" s="128"/>
    </row>
    <row r="23" spans="2:22" s="127" customFormat="1" ht="12" customHeight="1">
      <c r="B23" s="274">
        <v>7</v>
      </c>
      <c r="C23" s="269">
        <f>+C25-7</f>
        <v>39342</v>
      </c>
      <c r="D23" s="269">
        <f>+D25-7</f>
        <v>39348</v>
      </c>
      <c r="E23" s="185"/>
      <c r="F23" s="186"/>
      <c r="G23" s="187">
        <v>8</v>
      </c>
      <c r="H23" s="186"/>
      <c r="I23" s="187"/>
      <c r="J23" s="186"/>
      <c r="K23" s="185"/>
      <c r="L23" s="186"/>
      <c r="M23" s="188">
        <v>13.5</v>
      </c>
      <c r="N23" s="189"/>
      <c r="O23" s="187"/>
      <c r="P23" s="186"/>
      <c r="Q23" s="185"/>
      <c r="R23" s="186"/>
      <c r="S23" s="191">
        <f t="shared" si="1"/>
        <v>21.5</v>
      </c>
      <c r="T23" s="218"/>
      <c r="U23" s="231"/>
      <c r="V23" s="128"/>
    </row>
    <row r="24" spans="2:22" s="127" customFormat="1" ht="12" customHeight="1" thickBot="1">
      <c r="B24" s="273"/>
      <c r="C24" s="270"/>
      <c r="D24" s="270"/>
      <c r="E24" s="192"/>
      <c r="F24" s="193"/>
      <c r="G24" s="194">
        <v>8</v>
      </c>
      <c r="H24" s="201" t="s">
        <v>0</v>
      </c>
      <c r="I24" s="194"/>
      <c r="J24" s="193"/>
      <c r="K24" s="192"/>
      <c r="L24" s="193"/>
      <c r="M24" s="200">
        <v>13.5</v>
      </c>
      <c r="N24" s="196" t="s">
        <v>84</v>
      </c>
      <c r="O24" s="194"/>
      <c r="P24" s="193"/>
      <c r="Q24" s="192"/>
      <c r="R24" s="193"/>
      <c r="S24" s="198">
        <f t="shared" si="1"/>
        <v>21.5</v>
      </c>
      <c r="T24" s="217">
        <v>65.5</v>
      </c>
      <c r="U24" s="232"/>
      <c r="V24" s="128"/>
    </row>
    <row r="25" spans="2:22" s="127" customFormat="1" ht="12" customHeight="1">
      <c r="B25" s="274">
        <v>6</v>
      </c>
      <c r="C25" s="269">
        <f>+C27-7</f>
        <v>39349</v>
      </c>
      <c r="D25" s="269">
        <f>+D27-7</f>
        <v>39355</v>
      </c>
      <c r="E25" s="185" t="s">
        <v>85</v>
      </c>
      <c r="F25" s="186"/>
      <c r="G25" s="185">
        <v>31.2</v>
      </c>
      <c r="H25" s="186"/>
      <c r="I25" s="185"/>
      <c r="J25" s="186"/>
      <c r="K25" s="185">
        <v>8</v>
      </c>
      <c r="L25" s="186" t="s">
        <v>83</v>
      </c>
      <c r="M25" s="188">
        <v>18</v>
      </c>
      <c r="N25" s="189" t="s">
        <v>81</v>
      </c>
      <c r="O25" s="187"/>
      <c r="P25" s="186"/>
      <c r="Q25" s="185">
        <v>10</v>
      </c>
      <c r="R25" s="186" t="s">
        <v>81</v>
      </c>
      <c r="S25" s="191">
        <f t="shared" si="1"/>
        <v>67.2</v>
      </c>
      <c r="T25" s="218"/>
      <c r="U25" s="231"/>
      <c r="V25" s="128"/>
    </row>
    <row r="26" spans="2:22" s="127" customFormat="1" ht="12" customHeight="1" thickBot="1">
      <c r="B26" s="273"/>
      <c r="C26" s="270"/>
      <c r="D26" s="270"/>
      <c r="E26" s="192" t="s">
        <v>85</v>
      </c>
      <c r="F26" s="193"/>
      <c r="G26" s="194">
        <v>31.2</v>
      </c>
      <c r="H26" s="193" t="s">
        <v>81</v>
      </c>
      <c r="I26" s="192"/>
      <c r="J26" s="193"/>
      <c r="K26" s="192"/>
      <c r="L26" s="193"/>
      <c r="M26" s="200">
        <v>10</v>
      </c>
      <c r="N26" s="196" t="s">
        <v>83</v>
      </c>
      <c r="O26" s="192"/>
      <c r="P26" s="193"/>
      <c r="Q26" s="233" t="s">
        <v>96</v>
      </c>
      <c r="R26" s="197"/>
      <c r="S26" s="198">
        <f t="shared" si="1"/>
        <v>41.2</v>
      </c>
      <c r="T26" s="217"/>
      <c r="U26" s="242"/>
      <c r="V26" s="128"/>
    </row>
    <row r="27" spans="2:22" s="127" customFormat="1" ht="12" customHeight="1">
      <c r="B27" s="274">
        <v>5</v>
      </c>
      <c r="C27" s="269">
        <f>+C29-7</f>
        <v>39356</v>
      </c>
      <c r="D27" s="269">
        <f>+D29-7</f>
        <v>39362</v>
      </c>
      <c r="E27" s="187"/>
      <c r="F27" s="186"/>
      <c r="G27" s="185">
        <v>12</v>
      </c>
      <c r="H27" s="186" t="s">
        <v>84</v>
      </c>
      <c r="I27" s="187">
        <v>8</v>
      </c>
      <c r="J27" s="186" t="s">
        <v>83</v>
      </c>
      <c r="K27" s="185">
        <v>15</v>
      </c>
      <c r="L27" s="186" t="s">
        <v>81</v>
      </c>
      <c r="M27" s="188"/>
      <c r="N27" s="189"/>
      <c r="O27" s="185"/>
      <c r="P27" s="186"/>
      <c r="Q27" s="185">
        <v>25</v>
      </c>
      <c r="R27" s="190" t="s">
        <v>0</v>
      </c>
      <c r="S27" s="191">
        <f t="shared" si="1"/>
        <v>60</v>
      </c>
      <c r="T27" s="218"/>
      <c r="U27" s="254" t="s">
        <v>93</v>
      </c>
      <c r="V27" s="128"/>
    </row>
    <row r="28" spans="2:22" s="127" customFormat="1" ht="12" customHeight="1" thickBot="1">
      <c r="B28" s="273"/>
      <c r="C28" s="270"/>
      <c r="D28" s="270"/>
      <c r="E28" s="192">
        <v>9</v>
      </c>
      <c r="F28" s="193" t="s">
        <v>81</v>
      </c>
      <c r="G28" s="194">
        <v>14</v>
      </c>
      <c r="H28" s="193" t="s">
        <v>84</v>
      </c>
      <c r="I28" s="233" t="s">
        <v>96</v>
      </c>
      <c r="J28" s="193"/>
      <c r="K28" s="233" t="s">
        <v>96</v>
      </c>
      <c r="L28" s="193"/>
      <c r="M28" s="200">
        <v>13</v>
      </c>
      <c r="N28" s="196" t="s">
        <v>81</v>
      </c>
      <c r="O28" s="194"/>
      <c r="P28" s="193"/>
      <c r="Q28" s="192">
        <v>23.5</v>
      </c>
      <c r="R28" s="193" t="s">
        <v>0</v>
      </c>
      <c r="S28" s="198">
        <f t="shared" si="1"/>
        <v>59.5</v>
      </c>
      <c r="T28" s="217">
        <v>66.1</v>
      </c>
      <c r="U28" s="258">
        <v>0.06680555555555556</v>
      </c>
      <c r="V28" s="128"/>
    </row>
    <row r="29" spans="2:22" s="127" customFormat="1" ht="12" customHeight="1">
      <c r="B29" s="274">
        <v>4</v>
      </c>
      <c r="C29" s="269">
        <f>+C31-7</f>
        <v>39363</v>
      </c>
      <c r="D29" s="269">
        <f>+D31-7</f>
        <v>39369</v>
      </c>
      <c r="E29" s="235"/>
      <c r="F29" s="186"/>
      <c r="G29" s="185"/>
      <c r="H29" s="186"/>
      <c r="I29" s="187">
        <v>15</v>
      </c>
      <c r="J29" s="186" t="s">
        <v>81</v>
      </c>
      <c r="K29" s="185">
        <v>10</v>
      </c>
      <c r="L29" s="186" t="s">
        <v>83</v>
      </c>
      <c r="M29" s="188" t="s">
        <v>85</v>
      </c>
      <c r="N29" s="189"/>
      <c r="O29" s="187">
        <v>30</v>
      </c>
      <c r="P29" s="190" t="s">
        <v>84</v>
      </c>
      <c r="Q29" s="185"/>
      <c r="R29" s="186"/>
      <c r="S29" s="191">
        <f t="shared" si="1"/>
        <v>55</v>
      </c>
      <c r="T29" s="218"/>
      <c r="U29" s="254" t="s">
        <v>94</v>
      </c>
      <c r="V29" s="128"/>
    </row>
    <row r="30" spans="2:22" s="127" customFormat="1" ht="12" customHeight="1" thickBot="1">
      <c r="B30" s="273"/>
      <c r="C30" s="270"/>
      <c r="D30" s="270"/>
      <c r="E30" s="194"/>
      <c r="F30" s="193"/>
      <c r="G30" s="192"/>
      <c r="H30" s="193"/>
      <c r="I30" s="233">
        <v>13</v>
      </c>
      <c r="J30" s="193" t="s">
        <v>81</v>
      </c>
      <c r="K30" s="192">
        <v>18</v>
      </c>
      <c r="L30" s="193" t="s">
        <v>83</v>
      </c>
      <c r="M30" s="200"/>
      <c r="N30" s="196"/>
      <c r="O30" s="257">
        <v>30.5</v>
      </c>
      <c r="P30" s="202" t="s">
        <v>84</v>
      </c>
      <c r="Q30" s="195">
        <v>10</v>
      </c>
      <c r="R30" s="196" t="s">
        <v>83</v>
      </c>
      <c r="S30" s="198">
        <f t="shared" si="1"/>
        <v>71.5</v>
      </c>
      <c r="T30" s="217">
        <v>66.3</v>
      </c>
      <c r="U30" s="232"/>
      <c r="V30" s="128"/>
    </row>
    <row r="31" spans="2:22" s="127" customFormat="1" ht="12" customHeight="1">
      <c r="B31" s="274">
        <v>3</v>
      </c>
      <c r="C31" s="269">
        <f>+C33-7</f>
        <v>39370</v>
      </c>
      <c r="D31" s="269">
        <f>+D33-7</f>
        <v>39376</v>
      </c>
      <c r="E31" s="185" t="s">
        <v>85</v>
      </c>
      <c r="F31" s="186"/>
      <c r="G31" s="185">
        <v>15</v>
      </c>
      <c r="H31" s="186" t="s">
        <v>81</v>
      </c>
      <c r="I31" s="185">
        <v>8</v>
      </c>
      <c r="J31" s="186" t="s">
        <v>83</v>
      </c>
      <c r="K31" s="185">
        <v>17</v>
      </c>
      <c r="L31" s="186" t="s">
        <v>84</v>
      </c>
      <c r="M31" s="188" t="s">
        <v>85</v>
      </c>
      <c r="N31" s="189"/>
      <c r="O31" s="187"/>
      <c r="P31" s="186"/>
      <c r="Q31" s="185">
        <v>30</v>
      </c>
      <c r="R31" s="186" t="s">
        <v>81</v>
      </c>
      <c r="S31" s="191">
        <f t="shared" si="1"/>
        <v>70</v>
      </c>
      <c r="T31" s="218"/>
      <c r="U31" s="228"/>
      <c r="V31" s="128"/>
    </row>
    <row r="32" spans="2:22" s="127" customFormat="1" ht="12" customHeight="1" thickBot="1">
      <c r="B32" s="273"/>
      <c r="C32" s="270"/>
      <c r="D32" s="270"/>
      <c r="E32" s="192" t="s">
        <v>85</v>
      </c>
      <c r="F32" s="193"/>
      <c r="G32" s="194">
        <v>18</v>
      </c>
      <c r="H32" s="193" t="s">
        <v>81</v>
      </c>
      <c r="I32" s="233">
        <v>10</v>
      </c>
      <c r="J32" s="193" t="s">
        <v>86</v>
      </c>
      <c r="K32" s="233"/>
      <c r="L32" s="193"/>
      <c r="M32" s="195">
        <v>17</v>
      </c>
      <c r="N32" s="196" t="s">
        <v>81</v>
      </c>
      <c r="O32" s="192" t="s">
        <v>85</v>
      </c>
      <c r="P32" s="201"/>
      <c r="Q32" s="192">
        <v>8.6</v>
      </c>
      <c r="R32" s="197" t="s">
        <v>84</v>
      </c>
      <c r="S32" s="198">
        <f t="shared" si="1"/>
        <v>53.6</v>
      </c>
      <c r="T32" s="217">
        <v>66.2</v>
      </c>
      <c r="U32" s="242"/>
      <c r="V32" s="128"/>
    </row>
    <row r="33" spans="2:22" s="127" customFormat="1" ht="12" customHeight="1">
      <c r="B33" s="274">
        <v>2</v>
      </c>
      <c r="C33" s="269">
        <f>+C35-7</f>
        <v>39377</v>
      </c>
      <c r="D33" s="269">
        <f>+D35-7</f>
        <v>39383</v>
      </c>
      <c r="E33" s="185" t="s">
        <v>85</v>
      </c>
      <c r="F33" s="186"/>
      <c r="G33" s="187">
        <v>15</v>
      </c>
      <c r="H33" s="186" t="s">
        <v>84</v>
      </c>
      <c r="I33" s="185"/>
      <c r="J33" s="186"/>
      <c r="K33" s="185">
        <v>10</v>
      </c>
      <c r="L33" s="186" t="s">
        <v>83</v>
      </c>
      <c r="M33" s="188" t="s">
        <v>97</v>
      </c>
      <c r="N33" s="189"/>
      <c r="O33" s="187">
        <v>7</v>
      </c>
      <c r="P33" s="186" t="s">
        <v>81</v>
      </c>
      <c r="Q33" s="185">
        <v>24</v>
      </c>
      <c r="R33" s="186" t="s">
        <v>81</v>
      </c>
      <c r="S33" s="191">
        <f t="shared" si="1"/>
        <v>56</v>
      </c>
      <c r="T33" s="218"/>
      <c r="U33" s="227"/>
      <c r="V33" s="128"/>
    </row>
    <row r="34" spans="2:22" s="127" customFormat="1" ht="12" customHeight="1" thickBot="1">
      <c r="B34" s="273"/>
      <c r="C34" s="270"/>
      <c r="D34" s="270"/>
      <c r="E34" s="194">
        <v>11</v>
      </c>
      <c r="F34" s="193" t="s">
        <v>81</v>
      </c>
      <c r="G34" s="192">
        <v>30.5</v>
      </c>
      <c r="H34" s="193" t="s">
        <v>81</v>
      </c>
      <c r="I34" s="233"/>
      <c r="J34" s="193"/>
      <c r="K34" s="192"/>
      <c r="L34" s="193"/>
      <c r="M34" s="200"/>
      <c r="N34" s="196"/>
      <c r="O34" s="194">
        <v>11.5</v>
      </c>
      <c r="P34" s="193" t="s">
        <v>81</v>
      </c>
      <c r="Q34" s="192">
        <v>16.5</v>
      </c>
      <c r="R34" s="193" t="s">
        <v>84</v>
      </c>
      <c r="S34" s="198">
        <f t="shared" si="1"/>
        <v>69.5</v>
      </c>
      <c r="T34" s="217"/>
      <c r="U34" s="242"/>
      <c r="V34" s="128"/>
    </row>
    <row r="35" spans="2:22" s="127" customFormat="1" ht="12" customHeight="1">
      <c r="B35" s="274">
        <v>1</v>
      </c>
      <c r="C35" s="269">
        <f>+D35-6</f>
        <v>39384</v>
      </c>
      <c r="D35" s="269">
        <f>+X2</f>
        <v>39390</v>
      </c>
      <c r="E35" s="185" t="s">
        <v>98</v>
      </c>
      <c r="F35" s="186"/>
      <c r="G35" s="185" t="s">
        <v>97</v>
      </c>
      <c r="H35" s="186"/>
      <c r="I35" s="185" t="s">
        <v>97</v>
      </c>
      <c r="J35" s="186"/>
      <c r="K35" s="185">
        <v>14</v>
      </c>
      <c r="L35" s="186" t="s">
        <v>83</v>
      </c>
      <c r="M35" s="185"/>
      <c r="N35" s="186"/>
      <c r="O35" s="187">
        <v>6</v>
      </c>
      <c r="P35" s="186" t="s">
        <v>81</v>
      </c>
      <c r="Q35" s="185">
        <v>42.2</v>
      </c>
      <c r="R35" s="190" t="s">
        <v>0</v>
      </c>
      <c r="S35" s="191">
        <f t="shared" si="1"/>
        <v>62.2</v>
      </c>
      <c r="T35" s="218"/>
      <c r="U35" s="254" t="s">
        <v>95</v>
      </c>
      <c r="V35" s="128"/>
    </row>
    <row r="36" spans="2:22" s="127" customFormat="1" ht="12" customHeight="1" thickBot="1">
      <c r="B36" s="262"/>
      <c r="C36" s="275"/>
      <c r="D36" s="275"/>
      <c r="E36" s="195">
        <v>11.5</v>
      </c>
      <c r="F36" s="196" t="s">
        <v>81</v>
      </c>
      <c r="G36" s="200"/>
      <c r="H36" s="196"/>
      <c r="I36" s="200"/>
      <c r="J36" s="196"/>
      <c r="K36" s="200"/>
      <c r="L36" s="196"/>
      <c r="M36" s="200">
        <v>10</v>
      </c>
      <c r="N36" s="196" t="s">
        <v>81</v>
      </c>
      <c r="O36" s="195"/>
      <c r="P36" s="202"/>
      <c r="Q36" s="195">
        <v>42.2</v>
      </c>
      <c r="R36" s="202" t="s">
        <v>0</v>
      </c>
      <c r="S36" s="203">
        <f t="shared" si="1"/>
        <v>63.7</v>
      </c>
      <c r="T36" s="221"/>
      <c r="U36" s="252">
        <v>0.15259259259259259</v>
      </c>
      <c r="V36" s="128"/>
    </row>
    <row r="37" spans="5:21" ht="15" customHeight="1">
      <c r="E37" s="204"/>
      <c r="F37" s="205"/>
      <c r="G37" s="204"/>
      <c r="H37" s="205"/>
      <c r="I37" s="204"/>
      <c r="J37" s="205"/>
      <c r="K37" s="204"/>
      <c r="L37" s="205"/>
      <c r="M37" s="204"/>
      <c r="N37" s="205"/>
      <c r="O37" s="204"/>
      <c r="P37" s="205"/>
      <c r="Q37" s="205"/>
      <c r="R37" s="205"/>
      <c r="S37" s="206">
        <f>+AA56</f>
        <v>425.9</v>
      </c>
      <c r="T37" s="265" t="s">
        <v>89</v>
      </c>
      <c r="U37" s="266"/>
    </row>
    <row r="38" spans="5:21" ht="15" customHeight="1">
      <c r="E38" s="204"/>
      <c r="F38" s="205"/>
      <c r="G38" s="204"/>
      <c r="H38" s="204"/>
      <c r="I38" s="207"/>
      <c r="J38" s="204"/>
      <c r="K38" s="204"/>
      <c r="L38" s="205"/>
      <c r="M38" s="204"/>
      <c r="N38" s="205"/>
      <c r="O38" s="204"/>
      <c r="P38" s="205"/>
      <c r="Q38" s="205"/>
      <c r="R38" s="205"/>
      <c r="S38" s="208">
        <f>+S37/8</f>
        <v>53.2375</v>
      </c>
      <c r="T38" s="267" t="s">
        <v>90</v>
      </c>
      <c r="U38" s="268"/>
    </row>
    <row r="39" spans="5:21" ht="15" customHeight="1">
      <c r="E39" s="204"/>
      <c r="F39" s="205"/>
      <c r="G39" s="204"/>
      <c r="H39" s="205"/>
      <c r="I39" s="204"/>
      <c r="J39" s="205"/>
      <c r="K39" s="204"/>
      <c r="L39" s="205"/>
      <c r="M39" s="204"/>
      <c r="N39" s="205"/>
      <c r="O39" s="204"/>
      <c r="P39" s="205"/>
      <c r="Q39" s="205"/>
      <c r="R39" s="205"/>
      <c r="S39" s="209">
        <f>+AB56</f>
        <v>-11.399999999999999</v>
      </c>
      <c r="T39" s="267" t="s">
        <v>27</v>
      </c>
      <c r="U39" s="268"/>
    </row>
    <row r="40" spans="5:21" ht="15" customHeight="1">
      <c r="E40" s="204"/>
      <c r="F40" s="205"/>
      <c r="G40" s="204"/>
      <c r="H40" s="205"/>
      <c r="I40" s="204"/>
      <c r="J40" s="205"/>
      <c r="K40" s="204"/>
      <c r="L40" s="205"/>
      <c r="M40" s="204"/>
      <c r="N40" s="205"/>
      <c r="O40" s="204"/>
      <c r="P40" s="205"/>
      <c r="Q40" s="205"/>
      <c r="R40" s="205"/>
      <c r="S40" s="210">
        <f>+S38+(S39/8)</f>
        <v>51.8125</v>
      </c>
      <c r="T40" s="267" t="s">
        <v>40</v>
      </c>
      <c r="U40" s="268"/>
    </row>
    <row r="41" ht="12.75">
      <c r="Q41" s="150"/>
    </row>
    <row r="42" spans="15:46" ht="12.75" customHeight="1">
      <c r="O42" s="151"/>
      <c r="Q42" s="152"/>
      <c r="W42" s="127"/>
      <c r="X42" s="129" t="s">
        <v>22</v>
      </c>
      <c r="Y42" s="129" t="s">
        <v>23</v>
      </c>
      <c r="Z42" s="129" t="s">
        <v>21</v>
      </c>
      <c r="AA42" s="129" t="s">
        <v>11</v>
      </c>
      <c r="AB42" s="129" t="s">
        <v>24</v>
      </c>
      <c r="AC42" s="127"/>
      <c r="AD42" s="127" t="s">
        <v>2</v>
      </c>
      <c r="AE42" s="127" t="s">
        <v>62</v>
      </c>
      <c r="AF42" s="127" t="s">
        <v>63</v>
      </c>
      <c r="AG42" s="127" t="s">
        <v>64</v>
      </c>
      <c r="AH42" s="127" t="s">
        <v>6</v>
      </c>
      <c r="AI42" s="127" t="s">
        <v>7</v>
      </c>
      <c r="AJ42" s="127" t="s">
        <v>65</v>
      </c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</row>
    <row r="43" spans="19:46" ht="12.75" customHeight="1">
      <c r="S43" s="153" t="s">
        <v>72</v>
      </c>
      <c r="W43" s="127">
        <v>13</v>
      </c>
      <c r="X43" s="130">
        <f>IF(S12&gt;0,MAX(Q12,O12,M12,K12,I12,G12,E12),"")</f>
      </c>
      <c r="Y43" s="131">
        <f>MAX(Q11,O11,M11,K11,I11,G11,E11)</f>
        <v>0</v>
      </c>
      <c r="Z43" s="132">
        <f>+S12</f>
        <v>0</v>
      </c>
      <c r="AA43" s="133">
        <f>+S11</f>
        <v>0</v>
      </c>
      <c r="AB43" s="134">
        <f>IF(+$D$2&gt;=D11,Z42-AA42,"")</f>
        <v>0</v>
      </c>
      <c r="AC43" s="127"/>
      <c r="AD43" s="135">
        <f>+E11</f>
        <v>0</v>
      </c>
      <c r="AE43" s="135">
        <f>+G11</f>
        <v>0</v>
      </c>
      <c r="AF43" s="135">
        <f>+I11</f>
        <v>0</v>
      </c>
      <c r="AG43" s="135">
        <f>+K11</f>
        <v>0</v>
      </c>
      <c r="AH43" s="135">
        <f>+M11</f>
        <v>0</v>
      </c>
      <c r="AI43" s="135">
        <f>+O11</f>
        <v>0</v>
      </c>
      <c r="AJ43" s="135">
        <f>+Q11</f>
        <v>0</v>
      </c>
      <c r="AK43" s="136">
        <f aca="true" t="shared" si="2" ref="AK43:AK55">SUM(AD43:AJ43)</f>
        <v>0</v>
      </c>
      <c r="AL43" s="127"/>
      <c r="AM43" s="127" t="s">
        <v>2</v>
      </c>
      <c r="AN43" s="127" t="s">
        <v>62</v>
      </c>
      <c r="AO43" s="127" t="s">
        <v>63</v>
      </c>
      <c r="AP43" s="127" t="s">
        <v>64</v>
      </c>
      <c r="AQ43" s="127" t="s">
        <v>6</v>
      </c>
      <c r="AR43" s="127" t="s">
        <v>7</v>
      </c>
      <c r="AS43" s="127" t="s">
        <v>65</v>
      </c>
      <c r="AT43" s="127"/>
    </row>
    <row r="44" spans="17:46" ht="12.75" customHeight="1">
      <c r="Q44" s="154"/>
      <c r="S44" s="114" t="s">
        <v>70</v>
      </c>
      <c r="W44" s="127">
        <v>12</v>
      </c>
      <c r="X44" s="137">
        <f>IF(S14&gt;0,MAX(E14,G14,I14,K14,M14,O14,Q14),"")</f>
      </c>
      <c r="Y44" s="138">
        <f>MAX(Q13,O13,M13,K13,I13,G13,E13)</f>
        <v>0</v>
      </c>
      <c r="Z44" s="137">
        <f>+S14</f>
        <v>0</v>
      </c>
      <c r="AA44" s="139">
        <f>+S13</f>
        <v>0</v>
      </c>
      <c r="AB44" s="140">
        <f>IF(+$D$2&gt;=D13,Z44-AA44,"")</f>
        <v>0</v>
      </c>
      <c r="AC44" s="127"/>
      <c r="AD44" s="135">
        <f>+E13</f>
        <v>0</v>
      </c>
      <c r="AE44" s="135">
        <f>+G13</f>
        <v>0</v>
      </c>
      <c r="AF44" s="135">
        <f>+I13</f>
        <v>0</v>
      </c>
      <c r="AG44" s="135">
        <f>+K13</f>
        <v>0</v>
      </c>
      <c r="AH44" s="135">
        <f>+M13</f>
        <v>0</v>
      </c>
      <c r="AI44" s="135">
        <f>+O13</f>
        <v>0</v>
      </c>
      <c r="AJ44" s="135">
        <f>+Q13</f>
        <v>0</v>
      </c>
      <c r="AK44" s="136">
        <f t="shared" si="2"/>
        <v>0</v>
      </c>
      <c r="AL44" s="127"/>
      <c r="AM44" s="127" t="s">
        <v>60</v>
      </c>
      <c r="AN44" s="127" t="s">
        <v>60</v>
      </c>
      <c r="AO44" s="127" t="s">
        <v>60</v>
      </c>
      <c r="AP44" s="127" t="s">
        <v>60</v>
      </c>
      <c r="AQ44" s="127" t="s">
        <v>60</v>
      </c>
      <c r="AR44" s="127" t="s">
        <v>60</v>
      </c>
      <c r="AS44" s="127" t="s">
        <v>60</v>
      </c>
      <c r="AT44" s="127"/>
    </row>
    <row r="45" spans="17:46" ht="12.75" customHeight="1">
      <c r="Q45" s="155"/>
      <c r="T45" s="114" t="s">
        <v>71</v>
      </c>
      <c r="W45" s="127">
        <v>11</v>
      </c>
      <c r="X45" s="130">
        <f>IF(S16&gt;0,MAX(E16,G16,I16,K16,M16,O16,Q16),"")</f>
      </c>
      <c r="Y45" s="141">
        <f>MAX(Q15,O15,M15,K15,I15,G15,E15)</f>
        <v>0</v>
      </c>
      <c r="Z45" s="130">
        <f>+S16</f>
        <v>0</v>
      </c>
      <c r="AA45" s="142">
        <f>+S15</f>
        <v>0</v>
      </c>
      <c r="AB45" s="140">
        <f>IF(+$D$2&gt;=D15,Z45-AA45,"")</f>
        <v>0</v>
      </c>
      <c r="AC45" s="127"/>
      <c r="AD45" s="135">
        <f>+E15</f>
        <v>0</v>
      </c>
      <c r="AE45" s="135">
        <f>+G15</f>
        <v>0</v>
      </c>
      <c r="AF45" s="135">
        <f>+I15</f>
        <v>0</v>
      </c>
      <c r="AG45" s="135">
        <f>+K15</f>
        <v>0</v>
      </c>
      <c r="AH45" s="135">
        <f>+M15</f>
        <v>0</v>
      </c>
      <c r="AI45" s="135">
        <f>+O15</f>
        <v>0</v>
      </c>
      <c r="AJ45" s="135">
        <f>+Q15</f>
        <v>0</v>
      </c>
      <c r="AK45" s="136">
        <f t="shared" si="2"/>
        <v>0</v>
      </c>
      <c r="AL45" s="127"/>
      <c r="AM45" s="127" t="s">
        <v>2</v>
      </c>
      <c r="AN45" s="127" t="s">
        <v>62</v>
      </c>
      <c r="AO45" s="127" t="s">
        <v>63</v>
      </c>
      <c r="AP45" s="127" t="s">
        <v>64</v>
      </c>
      <c r="AQ45" s="127" t="s">
        <v>6</v>
      </c>
      <c r="AR45" s="127" t="s">
        <v>7</v>
      </c>
      <c r="AS45" s="127" t="s">
        <v>65</v>
      </c>
      <c r="AT45" s="127"/>
    </row>
    <row r="46" spans="19:46" ht="12.75" customHeight="1">
      <c r="S46" s="156">
        <f>+AK56</f>
        <v>1</v>
      </c>
      <c r="T46" s="157">
        <f>+AK73</f>
        <v>1</v>
      </c>
      <c r="U46" s="114" t="s">
        <v>67</v>
      </c>
      <c r="W46" s="127">
        <v>10</v>
      </c>
      <c r="X46" s="130">
        <f>IF(S18&gt;0,MAX(E18,G18,I18,K18,M18,O18,Q18),"")</f>
      </c>
      <c r="Y46" s="141">
        <f>MAX(Q17,O17,M17,K17,I17,G17,E17)</f>
        <v>0</v>
      </c>
      <c r="Z46" s="130">
        <f>+S18</f>
        <v>0</v>
      </c>
      <c r="AA46" s="142">
        <f>+S17</f>
        <v>0</v>
      </c>
      <c r="AB46" s="140">
        <f>IF(+$D$2&gt;=D17,Z46-AA46,"")</f>
        <v>0</v>
      </c>
      <c r="AC46" s="127"/>
      <c r="AD46" s="135">
        <f>+E17</f>
        <v>0</v>
      </c>
      <c r="AE46" s="135">
        <f>+G17</f>
        <v>0</v>
      </c>
      <c r="AF46" s="135">
        <f>+I17</f>
        <v>0</v>
      </c>
      <c r="AG46" s="135" t="str">
        <f>+K17</f>
        <v>accident</v>
      </c>
      <c r="AH46" s="135">
        <f>+M17</f>
        <v>0</v>
      </c>
      <c r="AI46" s="135">
        <f>+O17</f>
        <v>0</v>
      </c>
      <c r="AJ46" s="135">
        <f>+Q17</f>
        <v>0</v>
      </c>
      <c r="AK46" s="136">
        <f t="shared" si="2"/>
        <v>0</v>
      </c>
      <c r="AL46" s="127"/>
      <c r="AM46" s="127" t="s">
        <v>66</v>
      </c>
      <c r="AN46" s="127" t="s">
        <v>66</v>
      </c>
      <c r="AO46" s="127" t="s">
        <v>66</v>
      </c>
      <c r="AP46" s="127" t="s">
        <v>66</v>
      </c>
      <c r="AQ46" s="127" t="s">
        <v>66</v>
      </c>
      <c r="AR46" s="127" t="s">
        <v>66</v>
      </c>
      <c r="AS46" s="127" t="s">
        <v>66</v>
      </c>
      <c r="AT46" s="127"/>
    </row>
    <row r="47" spans="19:46" ht="12.75" customHeight="1">
      <c r="S47" s="156">
        <f>+AK57</f>
        <v>1</v>
      </c>
      <c r="T47" s="157">
        <f>+AK74</f>
        <v>0</v>
      </c>
      <c r="U47" s="114" t="s">
        <v>68</v>
      </c>
      <c r="W47" s="127">
        <v>9</v>
      </c>
      <c r="X47" s="130">
        <f>IF(S20&gt;0,MAX(E20,G20,I20,K20,M20,O20,Q20),"")</f>
      </c>
      <c r="Y47" s="141">
        <f>MAX(Q19,O19,M19,K19,I19,G19,E19)</f>
        <v>0</v>
      </c>
      <c r="Z47" s="130">
        <f>+S20</f>
        <v>0</v>
      </c>
      <c r="AA47" s="142">
        <f>+S19</f>
        <v>0</v>
      </c>
      <c r="AB47" s="140">
        <f>IF(+$D$2&gt;=D19,Z47-AA47,"")</f>
        <v>0</v>
      </c>
      <c r="AC47" s="127"/>
      <c r="AD47" s="135">
        <f>+E19</f>
        <v>0</v>
      </c>
      <c r="AE47" s="135">
        <f>+G19</f>
        <v>0</v>
      </c>
      <c r="AF47" s="135">
        <f>+I19</f>
        <v>0</v>
      </c>
      <c r="AG47" s="135">
        <f>+K19</f>
        <v>0</v>
      </c>
      <c r="AH47" s="135">
        <f>+M19</f>
        <v>0</v>
      </c>
      <c r="AI47" s="135">
        <f>+O19</f>
        <v>0</v>
      </c>
      <c r="AJ47" s="135">
        <f>+Q19</f>
        <v>0</v>
      </c>
      <c r="AK47" s="136">
        <f t="shared" si="2"/>
        <v>0</v>
      </c>
      <c r="AL47" s="127"/>
      <c r="AM47" s="127" t="s">
        <v>2</v>
      </c>
      <c r="AN47" s="127" t="s">
        <v>62</v>
      </c>
      <c r="AO47" s="127" t="s">
        <v>63</v>
      </c>
      <c r="AP47" s="127" t="s">
        <v>64</v>
      </c>
      <c r="AQ47" s="127" t="s">
        <v>6</v>
      </c>
      <c r="AR47" s="127" t="s">
        <v>7</v>
      </c>
      <c r="AS47" s="127" t="s">
        <v>65</v>
      </c>
      <c r="AT47" s="127"/>
    </row>
    <row r="48" spans="19:46" ht="12.75" customHeight="1" thickBot="1">
      <c r="S48" s="158">
        <f>+AK58</f>
        <v>4</v>
      </c>
      <c r="T48" s="159">
        <f>+AK75</f>
        <v>4</v>
      </c>
      <c r="U48" s="114" t="s">
        <v>69</v>
      </c>
      <c r="W48" s="127">
        <v>8</v>
      </c>
      <c r="X48" s="130">
        <f>IF(S22&gt;0,MAX(E22,G22,I22,K22,M22,O22,Q22),"")</f>
        <v>13.5</v>
      </c>
      <c r="Y48" s="141">
        <f>MAX(Q21,O21,M21,K21,I21,G21,E21)</f>
        <v>13.5</v>
      </c>
      <c r="Z48" s="130">
        <f>+S22</f>
        <v>34</v>
      </c>
      <c r="AA48" s="142">
        <f>+S21</f>
        <v>34</v>
      </c>
      <c r="AB48" s="140">
        <f>IF(+$D$2&gt;=D21,Z48-AA48,"")</f>
        <v>0</v>
      </c>
      <c r="AC48" s="127"/>
      <c r="AD48" s="135">
        <f>+E21</f>
        <v>10.1</v>
      </c>
      <c r="AE48" s="135">
        <f>+G21</f>
        <v>0</v>
      </c>
      <c r="AF48" s="135">
        <f>+I21</f>
        <v>0</v>
      </c>
      <c r="AG48" s="135">
        <f>+K21</f>
        <v>0</v>
      </c>
      <c r="AH48" s="135">
        <f>+M21</f>
        <v>13.5</v>
      </c>
      <c r="AI48" s="135">
        <f>+O21</f>
        <v>0</v>
      </c>
      <c r="AJ48" s="135">
        <f>+Q21</f>
        <v>10.4</v>
      </c>
      <c r="AK48" s="136">
        <f t="shared" si="2"/>
        <v>34</v>
      </c>
      <c r="AL48" s="127"/>
      <c r="AM48" s="127" t="s">
        <v>61</v>
      </c>
      <c r="AN48" s="127" t="s">
        <v>61</v>
      </c>
      <c r="AO48" s="127" t="s">
        <v>61</v>
      </c>
      <c r="AP48" s="127" t="s">
        <v>61</v>
      </c>
      <c r="AQ48" s="127" t="s">
        <v>61</v>
      </c>
      <c r="AR48" s="127" t="s">
        <v>61</v>
      </c>
      <c r="AS48" s="127" t="s">
        <v>61</v>
      </c>
      <c r="AT48" s="127"/>
    </row>
    <row r="49" spans="19:46" ht="12.75" customHeight="1">
      <c r="S49" s="160">
        <f>SUM(S46:S48)</f>
        <v>6</v>
      </c>
      <c r="T49" s="161">
        <f>SUM(T46:T48)</f>
        <v>5</v>
      </c>
      <c r="U49" s="125"/>
      <c r="W49" s="127">
        <v>7</v>
      </c>
      <c r="X49" s="130">
        <f>IF(S24&gt;0,MAX(E24,G24,I24,K24,M24,O24,Q24),"")</f>
        <v>13.5</v>
      </c>
      <c r="Y49" s="141">
        <f>MAX(Q23,O23,M23,K23,I23,G23,E23)</f>
        <v>13.5</v>
      </c>
      <c r="Z49" s="130">
        <f>+S24</f>
        <v>21.5</v>
      </c>
      <c r="AA49" s="142">
        <f>+S23</f>
        <v>21.5</v>
      </c>
      <c r="AB49" s="140">
        <f>IF(+$D$2&gt;=D23,Z49-AA49,"")</f>
        <v>0</v>
      </c>
      <c r="AC49" s="127"/>
      <c r="AD49" s="135">
        <f>+E23</f>
        <v>0</v>
      </c>
      <c r="AE49" s="135">
        <f>+G23</f>
        <v>8</v>
      </c>
      <c r="AF49" s="135">
        <f>+I23</f>
        <v>0</v>
      </c>
      <c r="AG49" s="135">
        <f>+K23</f>
        <v>0</v>
      </c>
      <c r="AH49" s="135">
        <f>+M23</f>
        <v>13.5</v>
      </c>
      <c r="AI49" s="135">
        <f>+O23</f>
        <v>0</v>
      </c>
      <c r="AJ49" s="135">
        <f>+Q23</f>
        <v>0</v>
      </c>
      <c r="AK49" s="136">
        <f t="shared" si="2"/>
        <v>21.5</v>
      </c>
      <c r="AL49" s="127"/>
      <c r="AM49" s="127"/>
      <c r="AN49" s="127"/>
      <c r="AO49" s="127"/>
      <c r="AP49" s="127"/>
      <c r="AQ49" s="127"/>
      <c r="AR49" s="127"/>
      <c r="AS49" s="127"/>
      <c r="AT49" s="127"/>
    </row>
    <row r="50" spans="23:46" ht="12.75" customHeight="1">
      <c r="W50" s="127">
        <v>6</v>
      </c>
      <c r="X50" s="130">
        <f>IF(S26&gt;0,MAX(E26,G26,I26,K26,M26,O26,Q26),"")</f>
        <v>31.2</v>
      </c>
      <c r="Y50" s="141">
        <f>MAX(Q25,O25,M25,K25,I25,G25,E25)</f>
        <v>31.2</v>
      </c>
      <c r="Z50" s="130">
        <f>+S26</f>
        <v>41.2</v>
      </c>
      <c r="AA50" s="142">
        <f>+S25</f>
        <v>67.2</v>
      </c>
      <c r="AB50" s="140">
        <f>IF(+$D$2&gt;=D25,Z50-AA50,"")</f>
        <v>-26</v>
      </c>
      <c r="AC50" s="127"/>
      <c r="AD50" s="135" t="str">
        <f>+E25</f>
        <v>gym</v>
      </c>
      <c r="AE50" s="135">
        <f>+G25</f>
        <v>31.2</v>
      </c>
      <c r="AF50" s="135">
        <f>+I25</f>
        <v>0</v>
      </c>
      <c r="AG50" s="135">
        <f>+K25</f>
        <v>8</v>
      </c>
      <c r="AH50" s="135">
        <f>+M25</f>
        <v>18</v>
      </c>
      <c r="AI50" s="135">
        <f>+O25</f>
        <v>0</v>
      </c>
      <c r="AJ50" s="135">
        <f>+Q25</f>
        <v>10</v>
      </c>
      <c r="AK50" s="136">
        <f t="shared" si="2"/>
        <v>67.2</v>
      </c>
      <c r="AL50" s="127"/>
      <c r="AM50" s="127"/>
      <c r="AN50" s="127"/>
      <c r="AO50" s="127"/>
      <c r="AP50" s="127"/>
      <c r="AQ50" s="127"/>
      <c r="AR50" s="127"/>
      <c r="AS50" s="127"/>
      <c r="AT50" s="127"/>
    </row>
    <row r="51" spans="22:46" ht="12.75">
      <c r="V51" s="162"/>
      <c r="W51" s="127">
        <v>5</v>
      </c>
      <c r="X51" s="130">
        <f>IF(S28&gt;0,MAX(E28,G28,I28,K28,M28,O28,Q28),"")</f>
        <v>23.5</v>
      </c>
      <c r="Y51" s="141">
        <f>MAX(Q27,O27,M27,K27,I27,G27,E27)</f>
        <v>25</v>
      </c>
      <c r="Z51" s="130">
        <f>+S28</f>
        <v>59.5</v>
      </c>
      <c r="AA51" s="142">
        <f>+S27</f>
        <v>60</v>
      </c>
      <c r="AB51" s="140">
        <f>IF(+$D$2&gt;=D27,Z51-AA51,"")</f>
        <v>-0.5</v>
      </c>
      <c r="AC51" s="127"/>
      <c r="AD51" s="135">
        <f>+E27</f>
        <v>0</v>
      </c>
      <c r="AE51" s="135">
        <f>+G27</f>
        <v>12</v>
      </c>
      <c r="AF51" s="135">
        <f>+I27</f>
        <v>8</v>
      </c>
      <c r="AG51" s="135">
        <f>+K27</f>
        <v>15</v>
      </c>
      <c r="AH51" s="135">
        <f>+M27</f>
        <v>0</v>
      </c>
      <c r="AI51" s="135">
        <f>+O27</f>
        <v>0</v>
      </c>
      <c r="AJ51" s="135">
        <f>+Q27</f>
        <v>25</v>
      </c>
      <c r="AK51" s="136">
        <f t="shared" si="2"/>
        <v>60</v>
      </c>
      <c r="AL51" s="127"/>
      <c r="AM51" s="127"/>
      <c r="AN51" s="127"/>
      <c r="AO51" s="127"/>
      <c r="AP51" s="127"/>
      <c r="AQ51" s="127"/>
      <c r="AR51" s="127"/>
      <c r="AS51" s="127"/>
      <c r="AT51" s="127"/>
    </row>
    <row r="52" spans="22:46" ht="12.75">
      <c r="V52" s="162"/>
      <c r="W52" s="127">
        <v>4</v>
      </c>
      <c r="X52" s="130">
        <f>IF(S30&gt;0,MAX(E30,G30,I30,K30,M30,O30,Q30),"")</f>
        <v>30.5</v>
      </c>
      <c r="Y52" s="141">
        <f>MAX(Q29,O29,M29,K29,I29,G29,E29)</f>
        <v>30</v>
      </c>
      <c r="Z52" s="130">
        <f>+S30</f>
        <v>71.5</v>
      </c>
      <c r="AA52" s="142">
        <f>+S29</f>
        <v>55</v>
      </c>
      <c r="AB52" s="140">
        <f>IF(+$D$2&gt;=D29,Z52-AA52,"")</f>
        <v>16.5</v>
      </c>
      <c r="AC52" s="127"/>
      <c r="AD52" s="135">
        <f>+E29</f>
        <v>0</v>
      </c>
      <c r="AE52" s="135">
        <f>+G29</f>
        <v>0</v>
      </c>
      <c r="AF52" s="135">
        <f>+I29</f>
        <v>15</v>
      </c>
      <c r="AG52" s="135">
        <f>+K29</f>
        <v>10</v>
      </c>
      <c r="AH52" s="135" t="str">
        <f>+M29</f>
        <v>gym</v>
      </c>
      <c r="AI52" s="135">
        <f>+O29</f>
        <v>30</v>
      </c>
      <c r="AJ52" s="135">
        <f>+Q29</f>
        <v>0</v>
      </c>
      <c r="AK52" s="136">
        <f t="shared" si="2"/>
        <v>55</v>
      </c>
      <c r="AL52" s="127"/>
      <c r="AM52" s="127"/>
      <c r="AN52" s="127"/>
      <c r="AO52" s="127"/>
      <c r="AP52" s="127"/>
      <c r="AQ52" s="127"/>
      <c r="AR52" s="127"/>
      <c r="AS52" s="127"/>
      <c r="AT52" s="127"/>
    </row>
    <row r="53" spans="2:46" ht="12.75" customHeight="1">
      <c r="B53" s="163"/>
      <c r="F53" s="114"/>
      <c r="H53" s="114"/>
      <c r="J53" s="114"/>
      <c r="L53" s="114"/>
      <c r="N53" s="125"/>
      <c r="O53" s="125"/>
      <c r="P53" s="164"/>
      <c r="Q53" s="164"/>
      <c r="R53" s="125"/>
      <c r="V53" s="125"/>
      <c r="W53" s="127">
        <v>3</v>
      </c>
      <c r="X53" s="130">
        <f>IF(S32&gt;0,MAX(E32,G32,I32,K32,M32,O32,Q32),"")</f>
        <v>18</v>
      </c>
      <c r="Y53" s="141">
        <f>MAX(Q31,O31,M31,K31,I31,G31,E31)</f>
        <v>30</v>
      </c>
      <c r="Z53" s="130">
        <f>+S32</f>
        <v>53.6</v>
      </c>
      <c r="AA53" s="142">
        <f>+S31</f>
        <v>70</v>
      </c>
      <c r="AB53" s="140">
        <f>IF(+$D$2&gt;=D31,Z53-AA53,"")</f>
        <v>-16.4</v>
      </c>
      <c r="AC53" s="127"/>
      <c r="AD53" s="135" t="str">
        <f>+E31</f>
        <v>gym</v>
      </c>
      <c r="AE53" s="135">
        <f>+G31</f>
        <v>15</v>
      </c>
      <c r="AF53" s="135">
        <f>+I31</f>
        <v>8</v>
      </c>
      <c r="AG53" s="135">
        <f>+K31</f>
        <v>17</v>
      </c>
      <c r="AH53" s="135" t="str">
        <f>+M31</f>
        <v>gym</v>
      </c>
      <c r="AI53" s="135">
        <f>+O31</f>
        <v>0</v>
      </c>
      <c r="AJ53" s="135">
        <f>+Q31</f>
        <v>30</v>
      </c>
      <c r="AK53" s="136">
        <f t="shared" si="2"/>
        <v>70</v>
      </c>
      <c r="AL53" s="127"/>
      <c r="AM53" s="127"/>
      <c r="AN53" s="127"/>
      <c r="AO53" s="127"/>
      <c r="AP53" s="127"/>
      <c r="AQ53" s="127"/>
      <c r="AR53" s="127"/>
      <c r="AS53" s="127"/>
      <c r="AT53" s="127"/>
    </row>
    <row r="54" spans="2:46" ht="12.75" customHeight="1">
      <c r="B54" s="163"/>
      <c r="F54" s="114"/>
      <c r="H54" s="114"/>
      <c r="J54" s="114"/>
      <c r="L54" s="114"/>
      <c r="N54" s="125"/>
      <c r="O54" s="125"/>
      <c r="P54" s="164"/>
      <c r="Q54" s="164"/>
      <c r="R54" s="125"/>
      <c r="V54" s="125"/>
      <c r="W54" s="127">
        <v>2</v>
      </c>
      <c r="X54" s="130">
        <f>IF(S34&gt;0,MAX(E34,G34,I34,K34,M34,O34,Q34),"")</f>
        <v>30.5</v>
      </c>
      <c r="Y54" s="141">
        <f>MAX(Q33,O33,M33,K33,I33,G33,E33)</f>
        <v>24</v>
      </c>
      <c r="Z54" s="130">
        <f>+S34</f>
        <v>69.5</v>
      </c>
      <c r="AA54" s="142">
        <f>+S33</f>
        <v>56</v>
      </c>
      <c r="AB54" s="140">
        <f>IF(+$D$2&gt;=D33,Z54-AA54,"")</f>
        <v>13.5</v>
      </c>
      <c r="AC54" s="127"/>
      <c r="AD54" s="135" t="str">
        <f>+E33</f>
        <v>gym</v>
      </c>
      <c r="AE54" s="135">
        <f>+G33</f>
        <v>15</v>
      </c>
      <c r="AF54" s="135">
        <f>+I33</f>
        <v>0</v>
      </c>
      <c r="AG54" s="135">
        <f>+K33</f>
        <v>10</v>
      </c>
      <c r="AH54" s="135" t="str">
        <f>+M33</f>
        <v>travel</v>
      </c>
      <c r="AI54" s="135">
        <f>+O33</f>
        <v>7</v>
      </c>
      <c r="AJ54" s="135">
        <f>+Q33</f>
        <v>24</v>
      </c>
      <c r="AK54" s="136">
        <f t="shared" si="2"/>
        <v>56</v>
      </c>
      <c r="AL54" s="127"/>
      <c r="AM54" s="127"/>
      <c r="AN54" s="127"/>
      <c r="AO54" s="127"/>
      <c r="AP54" s="127"/>
      <c r="AQ54" s="127"/>
      <c r="AR54" s="127"/>
      <c r="AS54" s="127"/>
      <c r="AT54" s="127"/>
    </row>
    <row r="55" spans="2:46" ht="12.75" customHeight="1">
      <c r="B55" s="163"/>
      <c r="F55" s="114"/>
      <c r="H55" s="114"/>
      <c r="J55" s="114"/>
      <c r="L55" s="114"/>
      <c r="N55" s="125"/>
      <c r="O55" s="125"/>
      <c r="P55" s="164"/>
      <c r="Q55" s="164"/>
      <c r="R55" s="125"/>
      <c r="V55" s="125"/>
      <c r="W55" s="127">
        <v>1</v>
      </c>
      <c r="X55" s="130">
        <f>IF(S36&gt;0,MAX(E36,G36,I36,K36,M36,O36,Q36),"")</f>
        <v>42.2</v>
      </c>
      <c r="Y55" s="131">
        <f>MAX(Q35,O35,M35,K35,I35,G35,E35)</f>
        <v>42.2</v>
      </c>
      <c r="Z55" s="130">
        <f>+S36</f>
        <v>63.7</v>
      </c>
      <c r="AA55" s="143">
        <f>+S35</f>
        <v>62.2</v>
      </c>
      <c r="AB55" s="140">
        <f>IF(+$D$2&gt;=D35,Z55-AA55,"")</f>
        <v>1.5</v>
      </c>
      <c r="AC55" s="127"/>
      <c r="AD55" s="135" t="str">
        <f>+E35</f>
        <v>Dublin</v>
      </c>
      <c r="AE55" s="135" t="str">
        <f>+G35</f>
        <v>travel</v>
      </c>
      <c r="AF55" s="135" t="str">
        <f>+I35</f>
        <v>travel</v>
      </c>
      <c r="AG55" s="135">
        <f>+K35</f>
        <v>14</v>
      </c>
      <c r="AH55" s="135">
        <f>+M35</f>
        <v>0</v>
      </c>
      <c r="AI55" s="135">
        <f>+O35</f>
        <v>6</v>
      </c>
      <c r="AJ55" s="135">
        <f>+Q35</f>
        <v>42.2</v>
      </c>
      <c r="AK55" s="136">
        <f t="shared" si="2"/>
        <v>62.2</v>
      </c>
      <c r="AL55" s="127"/>
      <c r="AM55" s="127"/>
      <c r="AN55" s="127"/>
      <c r="AO55" s="127"/>
      <c r="AP55" s="127"/>
      <c r="AQ55" s="127"/>
      <c r="AR55" s="127"/>
      <c r="AS55" s="127"/>
      <c r="AT55" s="127"/>
    </row>
    <row r="56" spans="2:46" ht="12.75" customHeight="1">
      <c r="B56" s="163"/>
      <c r="F56" s="114"/>
      <c r="H56" s="114"/>
      <c r="J56" s="114"/>
      <c r="L56" s="114"/>
      <c r="N56" s="125"/>
      <c r="O56" s="125"/>
      <c r="P56" s="164"/>
      <c r="Q56" s="164"/>
      <c r="R56" s="125"/>
      <c r="V56" s="125"/>
      <c r="W56" s="127"/>
      <c r="X56" s="144"/>
      <c r="Y56" s="145"/>
      <c r="Z56" s="146">
        <f>SUM(Z44:Z55)</f>
        <v>414.5</v>
      </c>
      <c r="AA56" s="146">
        <f>SUM(AA44:AA55)</f>
        <v>425.9</v>
      </c>
      <c r="AB56" s="147">
        <f>SUM(AB44:AB55)</f>
        <v>-11.399999999999999</v>
      </c>
      <c r="AC56" s="127"/>
      <c r="AD56" s="127">
        <f>DCOUNT(dbmo,"mo",AM43:AM44)</f>
        <v>0</v>
      </c>
      <c r="AE56" s="127">
        <f>DCOUNT(dbdi,"di",AN43:AN44)</f>
        <v>1</v>
      </c>
      <c r="AF56" s="127">
        <f>DCOUNT(dbmi,"mi",AO43:AO44)</f>
        <v>0</v>
      </c>
      <c r="AG56" s="127">
        <f>DCOUNT(dbdo,"do",AP43:AP44)</f>
        <v>0</v>
      </c>
      <c r="AH56" s="127">
        <f>DCOUNT(dbfr,"fr",AQ43:AQ44)</f>
        <v>0</v>
      </c>
      <c r="AI56" s="127">
        <f>DCOUNT(dbsa,"sa",AR43:AR44)</f>
        <v>1</v>
      </c>
      <c r="AJ56" s="127">
        <f>DCOUNT(dbso,"so",AS43:AS44)</f>
        <v>4</v>
      </c>
      <c r="AK56" s="127">
        <f>SUM(AD56:AJ56)-AK57-AK58</f>
        <v>1</v>
      </c>
      <c r="AL56" s="127"/>
      <c r="AM56" s="127"/>
      <c r="AN56" s="127"/>
      <c r="AO56" s="127"/>
      <c r="AP56" s="127"/>
      <c r="AQ56" s="127"/>
      <c r="AR56" s="127"/>
      <c r="AS56" s="127"/>
      <c r="AT56" s="127"/>
    </row>
    <row r="57" spans="2:46" ht="12.75" customHeight="1">
      <c r="B57" s="163"/>
      <c r="F57" s="114"/>
      <c r="H57" s="114"/>
      <c r="J57" s="114"/>
      <c r="L57" s="114"/>
      <c r="N57" s="125"/>
      <c r="O57" s="125"/>
      <c r="P57" s="164"/>
      <c r="Q57" s="164"/>
      <c r="R57" s="125"/>
      <c r="V57" s="125"/>
      <c r="W57" s="127"/>
      <c r="X57" s="144"/>
      <c r="Y57" s="148"/>
      <c r="Z57" s="148"/>
      <c r="AA57" s="148"/>
      <c r="AB57" s="127"/>
      <c r="AC57" s="127"/>
      <c r="AD57" s="127">
        <f>DCOUNT(dbmo,"mo",AM45:AM46)</f>
        <v>0</v>
      </c>
      <c r="AE57" s="127">
        <f>DCOUNT(dbdi,"di",AN45:AN46)</f>
        <v>1</v>
      </c>
      <c r="AF57" s="127">
        <f>DCOUNT(dbmi,"mi",AO45:AO46)</f>
        <v>0</v>
      </c>
      <c r="AG57" s="127">
        <f>DCOUNT(dbdo,"do",AP45:AP46)</f>
        <v>0</v>
      </c>
      <c r="AH57" s="127">
        <f>DCOUNT(dbfr,"fr",AQ45:AQ46)</f>
        <v>0</v>
      </c>
      <c r="AI57" s="127">
        <f>DCOUNT(dbsa,"sa",AR45:AR46)</f>
        <v>1</v>
      </c>
      <c r="AJ57" s="127">
        <f>DCOUNT(dbso,"so",AS45:AS46)</f>
        <v>3</v>
      </c>
      <c r="AK57" s="127">
        <f>SUM(AD57:AJ57)-AK58</f>
        <v>1</v>
      </c>
      <c r="AL57" s="127"/>
      <c r="AM57" s="127"/>
      <c r="AN57" s="127"/>
      <c r="AO57" s="127"/>
      <c r="AP57" s="127"/>
      <c r="AQ57" s="127"/>
      <c r="AR57" s="127"/>
      <c r="AS57" s="127"/>
      <c r="AT57" s="127"/>
    </row>
    <row r="58" spans="2:46" ht="12.75" customHeight="1">
      <c r="B58" s="163"/>
      <c r="F58" s="114"/>
      <c r="H58" s="114"/>
      <c r="J58" s="114"/>
      <c r="L58" s="114"/>
      <c r="N58" s="125"/>
      <c r="O58" s="125"/>
      <c r="P58" s="164"/>
      <c r="Q58" s="164"/>
      <c r="R58" s="125"/>
      <c r="S58" s="125"/>
      <c r="U58" s="125"/>
      <c r="V58" s="125"/>
      <c r="W58" s="127"/>
      <c r="X58" s="127"/>
      <c r="Y58" s="145"/>
      <c r="Z58" s="263"/>
      <c r="AA58" s="263"/>
      <c r="AB58" s="127"/>
      <c r="AC58" s="127"/>
      <c r="AD58" s="127">
        <f>DCOUNT(dbmo,"mo",AM47:AM48)</f>
        <v>0</v>
      </c>
      <c r="AE58" s="127">
        <f>DCOUNT(dbdi,"di",AN47:AN48)</f>
        <v>1</v>
      </c>
      <c r="AF58" s="127">
        <f>DCOUNT(dbmi,"mi",AO47:AO48)</f>
        <v>0</v>
      </c>
      <c r="AG58" s="127">
        <f>DCOUNT(dbdo,"do",AP47:AP48)</f>
        <v>0</v>
      </c>
      <c r="AH58" s="127">
        <f>DCOUNT(dbfr,"fr",AQ47:AQ48)</f>
        <v>0</v>
      </c>
      <c r="AI58" s="127">
        <f>DCOUNT(dbsa,"sa",AR47:AR48)</f>
        <v>1</v>
      </c>
      <c r="AJ58" s="127">
        <f>DCOUNT(dbso,"so",AS47:AS48)</f>
        <v>2</v>
      </c>
      <c r="AK58" s="127">
        <f>SUM(AD58:AJ58)</f>
        <v>4</v>
      </c>
      <c r="AL58" s="127"/>
      <c r="AM58" s="127"/>
      <c r="AN58" s="127"/>
      <c r="AO58" s="127"/>
      <c r="AP58" s="127"/>
      <c r="AQ58" s="127"/>
      <c r="AR58" s="127"/>
      <c r="AS58" s="127"/>
      <c r="AT58" s="127"/>
    </row>
    <row r="59" spans="2:46" ht="15" customHeight="1">
      <c r="B59" s="165"/>
      <c r="C59" s="166" t="s">
        <v>57</v>
      </c>
      <c r="D59" s="167"/>
      <c r="E59" s="167"/>
      <c r="F59" s="167"/>
      <c r="G59" s="168"/>
      <c r="H59" s="114"/>
      <c r="I59" s="166" t="s">
        <v>13</v>
      </c>
      <c r="J59" s="169"/>
      <c r="K59" s="170">
        <v>159</v>
      </c>
      <c r="L59" s="167"/>
      <c r="M59" s="169"/>
      <c r="N59" s="169"/>
      <c r="O59" s="167"/>
      <c r="P59" s="293"/>
      <c r="Q59" s="294"/>
      <c r="R59" s="125"/>
      <c r="S59" s="125"/>
      <c r="W59" s="127"/>
      <c r="X59" s="145"/>
      <c r="Y59" s="148"/>
      <c r="Z59" s="263"/>
      <c r="AA59" s="263"/>
      <c r="AB59" s="127"/>
      <c r="AC59" s="127"/>
      <c r="AD59" s="127" t="s">
        <v>2</v>
      </c>
      <c r="AE59" s="127" t="s">
        <v>62</v>
      </c>
      <c r="AF59" s="127" t="s">
        <v>63</v>
      </c>
      <c r="AG59" s="127" t="s">
        <v>64</v>
      </c>
      <c r="AH59" s="127" t="s">
        <v>6</v>
      </c>
      <c r="AI59" s="127" t="s">
        <v>7</v>
      </c>
      <c r="AJ59" s="127" t="s">
        <v>65</v>
      </c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</row>
    <row r="60" spans="2:46" ht="15" customHeight="1">
      <c r="B60" s="165"/>
      <c r="C60" s="171" t="s">
        <v>38</v>
      </c>
      <c r="D60" s="165"/>
      <c r="E60" s="289">
        <v>12.7</v>
      </c>
      <c r="F60" s="289"/>
      <c r="G60" s="290"/>
      <c r="H60" s="114"/>
      <c r="I60" s="171"/>
      <c r="J60" s="114"/>
      <c r="K60" s="172" t="s">
        <v>9</v>
      </c>
      <c r="L60" s="165"/>
      <c r="M60" s="173" t="s">
        <v>10</v>
      </c>
      <c r="N60" s="297" t="s">
        <v>9</v>
      </c>
      <c r="O60" s="298"/>
      <c r="P60" s="295" t="s">
        <v>10</v>
      </c>
      <c r="Q60" s="296"/>
      <c r="R60" s="125"/>
      <c r="S60" s="125"/>
      <c r="W60" s="127"/>
      <c r="X60" s="145"/>
      <c r="Y60" s="145"/>
      <c r="Z60" s="263"/>
      <c r="AA60" s="263"/>
      <c r="AB60" s="127"/>
      <c r="AC60" s="127"/>
      <c r="AD60" s="149">
        <f>+E12</f>
        <v>0</v>
      </c>
      <c r="AE60" s="149">
        <f>+G12</f>
        <v>0</v>
      </c>
      <c r="AF60" s="149">
        <f>+I12</f>
        <v>0</v>
      </c>
      <c r="AG60" s="149">
        <f>+K12</f>
        <v>0</v>
      </c>
      <c r="AH60" s="149">
        <f>+M12</f>
        <v>0</v>
      </c>
      <c r="AI60" s="149">
        <f>+O12</f>
        <v>0</v>
      </c>
      <c r="AJ60" s="149">
        <f>+Q12</f>
        <v>0</v>
      </c>
      <c r="AK60" s="136">
        <f aca="true" t="shared" si="3" ref="AK60:AK71">SUM(AD60:AJ60)</f>
        <v>0</v>
      </c>
      <c r="AL60" s="127"/>
      <c r="AM60" s="127"/>
      <c r="AN60" s="127"/>
      <c r="AO60" s="127"/>
      <c r="AP60" s="127"/>
      <c r="AQ60" s="127"/>
      <c r="AR60" s="127"/>
      <c r="AS60" s="127"/>
      <c r="AT60" s="127"/>
    </row>
    <row r="61" spans="2:46" ht="15" customHeight="1">
      <c r="B61" s="165"/>
      <c r="C61" s="175" t="s">
        <v>28</v>
      </c>
      <c r="D61" s="165"/>
      <c r="E61" s="287">
        <f>60/E60/24/60</f>
        <v>0.0032808398950131237</v>
      </c>
      <c r="F61" s="287"/>
      <c r="G61" s="288"/>
      <c r="H61" s="114"/>
      <c r="I61" s="222" t="s">
        <v>12</v>
      </c>
      <c r="J61" s="114"/>
      <c r="K61" s="176"/>
      <c r="L61" s="165"/>
      <c r="M61" s="177">
        <f aca="true" t="shared" si="4" ref="M61:M68">+P61*$K$59</f>
        <v>103.35000000000001</v>
      </c>
      <c r="N61" s="291"/>
      <c r="O61" s="292"/>
      <c r="P61" s="286">
        <v>0.65</v>
      </c>
      <c r="Q61" s="286"/>
      <c r="R61" s="125"/>
      <c r="S61" s="125"/>
      <c r="W61" s="127"/>
      <c r="X61" s="145"/>
      <c r="Y61" s="148"/>
      <c r="Z61" s="263"/>
      <c r="AA61" s="263"/>
      <c r="AB61" s="127"/>
      <c r="AC61" s="127"/>
      <c r="AD61" s="149">
        <f>+E14</f>
        <v>0</v>
      </c>
      <c r="AE61" s="149">
        <f>+G14</f>
        <v>0</v>
      </c>
      <c r="AF61" s="149">
        <f>+I14</f>
        <v>0</v>
      </c>
      <c r="AG61" s="149">
        <f>+K14</f>
        <v>0</v>
      </c>
      <c r="AH61" s="149">
        <f>+M14</f>
        <v>0</v>
      </c>
      <c r="AI61" s="149">
        <f>+O14</f>
        <v>0</v>
      </c>
      <c r="AJ61" s="149">
        <f>+Q14</f>
        <v>0</v>
      </c>
      <c r="AK61" s="136">
        <f t="shared" si="3"/>
        <v>0</v>
      </c>
      <c r="AL61" s="127"/>
      <c r="AM61" s="127"/>
      <c r="AN61" s="127"/>
      <c r="AO61" s="127"/>
      <c r="AP61" s="127"/>
      <c r="AQ61" s="127"/>
      <c r="AR61" s="127"/>
      <c r="AS61" s="127"/>
      <c r="AT61" s="127"/>
    </row>
    <row r="62" spans="2:46" ht="15" customHeight="1">
      <c r="B62" s="165"/>
      <c r="C62" s="175" t="s">
        <v>30</v>
      </c>
      <c r="D62" s="165"/>
      <c r="E62" s="287">
        <f>+E61*1.609</f>
        <v>0.005278871391076116</v>
      </c>
      <c r="F62" s="287"/>
      <c r="G62" s="288"/>
      <c r="H62" s="114"/>
      <c r="I62" s="222" t="s">
        <v>14</v>
      </c>
      <c r="J62" s="114"/>
      <c r="K62" s="176">
        <f aca="true" t="shared" si="5" ref="K62:K68">+N62*$K$59</f>
        <v>103.35000000000001</v>
      </c>
      <c r="L62" s="165"/>
      <c r="M62" s="177">
        <f t="shared" si="4"/>
        <v>111.3</v>
      </c>
      <c r="N62" s="291">
        <f>+P61</f>
        <v>0.65</v>
      </c>
      <c r="O62" s="292"/>
      <c r="P62" s="286">
        <v>0.7</v>
      </c>
      <c r="Q62" s="286"/>
      <c r="R62" s="125"/>
      <c r="S62" s="125"/>
      <c r="W62" s="127"/>
      <c r="X62" s="145"/>
      <c r="Y62" s="145"/>
      <c r="Z62" s="263"/>
      <c r="AA62" s="263"/>
      <c r="AB62" s="127"/>
      <c r="AC62" s="127"/>
      <c r="AD62" s="149">
        <f>+E16</f>
        <v>0</v>
      </c>
      <c r="AE62" s="149">
        <f>+G16</f>
        <v>0</v>
      </c>
      <c r="AF62" s="149">
        <f>+I16</f>
        <v>0</v>
      </c>
      <c r="AG62" s="149">
        <f>+K16</f>
        <v>0</v>
      </c>
      <c r="AH62" s="149">
        <f>+M16</f>
        <v>0</v>
      </c>
      <c r="AI62" s="149">
        <f>+O16</f>
        <v>0</v>
      </c>
      <c r="AJ62" s="149">
        <f>+Q16</f>
        <v>0</v>
      </c>
      <c r="AK62" s="136">
        <f t="shared" si="3"/>
        <v>0</v>
      </c>
      <c r="AL62" s="127"/>
      <c r="AM62" s="127"/>
      <c r="AN62" s="127"/>
      <c r="AO62" s="127"/>
      <c r="AP62" s="127"/>
      <c r="AQ62" s="127"/>
      <c r="AR62" s="127"/>
      <c r="AS62" s="127"/>
      <c r="AT62" s="127"/>
    </row>
    <row r="63" spans="2:46" ht="15" customHeight="1">
      <c r="B63" s="165"/>
      <c r="C63" s="178" t="s">
        <v>29</v>
      </c>
      <c r="D63" s="174"/>
      <c r="E63" s="301">
        <v>0.18611111111111112</v>
      </c>
      <c r="F63" s="301"/>
      <c r="G63" s="302"/>
      <c r="H63" s="114"/>
      <c r="I63" s="222" t="s">
        <v>32</v>
      </c>
      <c r="J63" s="114"/>
      <c r="K63" s="176">
        <f t="shared" si="5"/>
        <v>111.3</v>
      </c>
      <c r="L63" s="165"/>
      <c r="M63" s="177">
        <f t="shared" si="4"/>
        <v>119.25</v>
      </c>
      <c r="N63" s="291">
        <f aca="true" t="shared" si="6" ref="N63:N68">+P62</f>
        <v>0.7</v>
      </c>
      <c r="O63" s="292"/>
      <c r="P63" s="286">
        <v>0.75</v>
      </c>
      <c r="Q63" s="286"/>
      <c r="R63" s="114"/>
      <c r="W63" s="127"/>
      <c r="X63" s="145"/>
      <c r="Y63" s="148"/>
      <c r="Z63" s="263"/>
      <c r="AA63" s="263"/>
      <c r="AB63" s="127"/>
      <c r="AC63" s="127"/>
      <c r="AD63" s="149">
        <f>+E18</f>
        <v>0</v>
      </c>
      <c r="AE63" s="149">
        <f>+G18</f>
        <v>0</v>
      </c>
      <c r="AF63" s="149">
        <f>+I18</f>
        <v>0</v>
      </c>
      <c r="AG63" s="149">
        <f>+K18</f>
        <v>0</v>
      </c>
      <c r="AH63" s="149">
        <f>+M18</f>
        <v>0</v>
      </c>
      <c r="AI63" s="149">
        <f>+O18</f>
        <v>0</v>
      </c>
      <c r="AJ63" s="149">
        <f>+Q18</f>
        <v>0</v>
      </c>
      <c r="AK63" s="136">
        <f t="shared" si="3"/>
        <v>0</v>
      </c>
      <c r="AL63" s="127"/>
      <c r="AM63" s="127"/>
      <c r="AN63" s="127"/>
      <c r="AO63" s="127"/>
      <c r="AP63" s="127"/>
      <c r="AQ63" s="127"/>
      <c r="AR63" s="127"/>
      <c r="AS63" s="127"/>
      <c r="AT63" s="127"/>
    </row>
    <row r="64" spans="2:46" ht="15" customHeight="1">
      <c r="B64" s="165"/>
      <c r="C64" s="175" t="s">
        <v>30</v>
      </c>
      <c r="D64" s="165"/>
      <c r="E64" s="303">
        <f>+E63*1.609</f>
        <v>0.2994527777777778</v>
      </c>
      <c r="F64" s="303"/>
      <c r="G64" s="304"/>
      <c r="H64" s="114"/>
      <c r="I64" s="222" t="s">
        <v>33</v>
      </c>
      <c r="J64" s="114"/>
      <c r="K64" s="176">
        <f t="shared" si="5"/>
        <v>119.25</v>
      </c>
      <c r="L64" s="165"/>
      <c r="M64" s="177">
        <f t="shared" si="4"/>
        <v>127.2</v>
      </c>
      <c r="N64" s="291">
        <f t="shared" si="6"/>
        <v>0.75</v>
      </c>
      <c r="O64" s="292"/>
      <c r="P64" s="286">
        <v>0.8</v>
      </c>
      <c r="Q64" s="286"/>
      <c r="R64" s="114"/>
      <c r="W64" s="127"/>
      <c r="X64" s="145"/>
      <c r="Y64" s="145"/>
      <c r="Z64" s="263"/>
      <c r="AA64" s="263"/>
      <c r="AB64" s="127"/>
      <c r="AC64" s="127"/>
      <c r="AD64" s="149">
        <f>+E20</f>
        <v>0</v>
      </c>
      <c r="AE64" s="149">
        <f>+G20</f>
        <v>0</v>
      </c>
      <c r="AF64" s="149">
        <f>+I20</f>
        <v>0</v>
      </c>
      <c r="AG64" s="149">
        <f>+K20</f>
        <v>0</v>
      </c>
      <c r="AH64" s="149">
        <f>+M20</f>
        <v>0</v>
      </c>
      <c r="AI64" s="149">
        <f>+O20</f>
        <v>0</v>
      </c>
      <c r="AJ64" s="149">
        <f>+Q20</f>
        <v>0</v>
      </c>
      <c r="AK64" s="136">
        <f t="shared" si="3"/>
        <v>0</v>
      </c>
      <c r="AL64" s="127"/>
      <c r="AM64" s="127"/>
      <c r="AN64" s="127"/>
      <c r="AO64" s="127"/>
      <c r="AP64" s="127"/>
      <c r="AQ64" s="127"/>
      <c r="AR64" s="127"/>
      <c r="AS64" s="127"/>
      <c r="AT64" s="127"/>
    </row>
    <row r="65" spans="2:46" ht="15" customHeight="1">
      <c r="B65" s="165"/>
      <c r="C65" s="175" t="s">
        <v>39</v>
      </c>
      <c r="D65" s="165"/>
      <c r="E65" s="305">
        <f>60/E63/24</f>
        <v>13.432835820895521</v>
      </c>
      <c r="F65" s="305"/>
      <c r="G65" s="306"/>
      <c r="H65" s="114"/>
      <c r="I65" s="222" t="s">
        <v>34</v>
      </c>
      <c r="J65" s="114"/>
      <c r="K65" s="176">
        <f t="shared" si="5"/>
        <v>127.2</v>
      </c>
      <c r="L65" s="165"/>
      <c r="M65" s="177">
        <f t="shared" si="4"/>
        <v>135.15</v>
      </c>
      <c r="N65" s="291">
        <f t="shared" si="6"/>
        <v>0.8</v>
      </c>
      <c r="O65" s="292"/>
      <c r="P65" s="286">
        <v>0.85</v>
      </c>
      <c r="Q65" s="286"/>
      <c r="R65" s="114"/>
      <c r="W65" s="127"/>
      <c r="X65" s="145"/>
      <c r="Y65" s="148"/>
      <c r="Z65" s="263"/>
      <c r="AA65" s="263"/>
      <c r="AB65" s="127"/>
      <c r="AC65" s="127"/>
      <c r="AD65" s="149">
        <f>+E22</f>
        <v>10.1</v>
      </c>
      <c r="AE65" s="149">
        <f>+G22</f>
        <v>0</v>
      </c>
      <c r="AF65" s="149">
        <f>+I22</f>
        <v>0</v>
      </c>
      <c r="AG65" s="149">
        <f>+K22</f>
        <v>0</v>
      </c>
      <c r="AH65" s="149">
        <f>+M22</f>
        <v>13.5</v>
      </c>
      <c r="AI65" s="149">
        <f>+O22</f>
        <v>0</v>
      </c>
      <c r="AJ65" s="149">
        <f>+Q22</f>
        <v>10.4</v>
      </c>
      <c r="AK65" s="136">
        <f t="shared" si="3"/>
        <v>34</v>
      </c>
      <c r="AL65" s="127"/>
      <c r="AM65" s="127"/>
      <c r="AN65" s="127"/>
      <c r="AO65" s="127"/>
      <c r="AP65" s="127"/>
      <c r="AQ65" s="127"/>
      <c r="AR65" s="127"/>
      <c r="AS65" s="127"/>
      <c r="AT65" s="127"/>
    </row>
    <row r="66" spans="3:46" ht="15" customHeight="1">
      <c r="C66" s="175" t="s">
        <v>35</v>
      </c>
      <c r="D66" s="125"/>
      <c r="E66" s="303">
        <f>+E63*0.4</f>
        <v>0.07444444444444445</v>
      </c>
      <c r="F66" s="303">
        <f>+E63*0.4</f>
        <v>0.07444444444444445</v>
      </c>
      <c r="G66" s="304"/>
      <c r="I66" s="222" t="s">
        <v>15</v>
      </c>
      <c r="J66" s="114"/>
      <c r="K66" s="176">
        <f t="shared" si="5"/>
        <v>135.15</v>
      </c>
      <c r="L66" s="165"/>
      <c r="M66" s="177">
        <f t="shared" si="4"/>
        <v>143.1</v>
      </c>
      <c r="N66" s="291">
        <f t="shared" si="6"/>
        <v>0.85</v>
      </c>
      <c r="O66" s="292"/>
      <c r="P66" s="286">
        <v>0.9</v>
      </c>
      <c r="Q66" s="286"/>
      <c r="W66" s="127"/>
      <c r="X66" s="145"/>
      <c r="Y66" s="145"/>
      <c r="Z66" s="263"/>
      <c r="AA66" s="263"/>
      <c r="AB66" s="127"/>
      <c r="AC66" s="127"/>
      <c r="AD66" s="149">
        <f>+E24</f>
        <v>0</v>
      </c>
      <c r="AE66" s="149">
        <f>+G24</f>
        <v>8</v>
      </c>
      <c r="AF66" s="149">
        <f>+I24</f>
        <v>0</v>
      </c>
      <c r="AG66" s="149">
        <f>+K24</f>
        <v>0</v>
      </c>
      <c r="AH66" s="149">
        <f>+M24</f>
        <v>13.5</v>
      </c>
      <c r="AI66" s="149">
        <f>+O24</f>
        <v>0</v>
      </c>
      <c r="AJ66" s="149">
        <f>+Q24</f>
        <v>0</v>
      </c>
      <c r="AK66" s="136">
        <f t="shared" si="3"/>
        <v>21.5</v>
      </c>
      <c r="AL66" s="127"/>
      <c r="AM66" s="127"/>
      <c r="AN66" s="127"/>
      <c r="AO66" s="127"/>
      <c r="AP66" s="127"/>
      <c r="AQ66" s="127"/>
      <c r="AR66" s="127"/>
      <c r="AS66" s="127"/>
      <c r="AT66" s="127"/>
    </row>
    <row r="67" spans="3:46" ht="15" customHeight="1">
      <c r="C67" s="175" t="s">
        <v>37</v>
      </c>
      <c r="D67" s="125"/>
      <c r="E67" s="303">
        <f>+E63*0.6</f>
        <v>0.11166666666666666</v>
      </c>
      <c r="F67" s="303"/>
      <c r="G67" s="304"/>
      <c r="I67" s="222" t="s">
        <v>16</v>
      </c>
      <c r="J67" s="114"/>
      <c r="K67" s="176">
        <f t="shared" si="5"/>
        <v>143.1</v>
      </c>
      <c r="L67" s="165"/>
      <c r="M67" s="177">
        <f t="shared" si="4"/>
        <v>151.04999999999998</v>
      </c>
      <c r="N67" s="291">
        <f t="shared" si="6"/>
        <v>0.9</v>
      </c>
      <c r="O67" s="292"/>
      <c r="P67" s="286">
        <v>0.95</v>
      </c>
      <c r="Q67" s="286"/>
      <c r="W67" s="127"/>
      <c r="X67" s="145"/>
      <c r="Y67" s="148"/>
      <c r="Z67" s="263"/>
      <c r="AA67" s="263"/>
      <c r="AB67" s="127"/>
      <c r="AC67" s="127"/>
      <c r="AD67" s="149" t="str">
        <f>+E26</f>
        <v>gym</v>
      </c>
      <c r="AE67" s="149">
        <f>+G26</f>
        <v>31.2</v>
      </c>
      <c r="AF67" s="149">
        <f>+I26</f>
        <v>0</v>
      </c>
      <c r="AG67" s="149">
        <f>+K26</f>
        <v>0</v>
      </c>
      <c r="AH67" s="149">
        <f>+M26</f>
        <v>10</v>
      </c>
      <c r="AI67" s="149">
        <f>+O26</f>
        <v>0</v>
      </c>
      <c r="AJ67" s="149" t="str">
        <f>+Q26</f>
        <v>hill walk</v>
      </c>
      <c r="AK67" s="136">
        <f t="shared" si="3"/>
        <v>41.2</v>
      </c>
      <c r="AL67" s="127"/>
      <c r="AM67" s="127"/>
      <c r="AN67" s="127"/>
      <c r="AO67" s="127"/>
      <c r="AP67" s="127"/>
      <c r="AQ67" s="127"/>
      <c r="AR67" s="127"/>
      <c r="AS67" s="127"/>
      <c r="AT67" s="127"/>
    </row>
    <row r="68" spans="3:37" ht="15" customHeight="1">
      <c r="C68" s="179" t="s">
        <v>36</v>
      </c>
      <c r="D68" s="180"/>
      <c r="E68" s="299">
        <f>+E63*0.8</f>
        <v>0.1488888888888889</v>
      </c>
      <c r="F68" s="299"/>
      <c r="G68" s="300"/>
      <c r="I68" s="223" t="s">
        <v>17</v>
      </c>
      <c r="J68" s="181"/>
      <c r="K68" s="182">
        <f t="shared" si="5"/>
        <v>151.04999999999998</v>
      </c>
      <c r="L68" s="183"/>
      <c r="M68" s="184">
        <f t="shared" si="4"/>
        <v>155.025</v>
      </c>
      <c r="N68" s="308">
        <f t="shared" si="6"/>
        <v>0.95</v>
      </c>
      <c r="O68" s="309"/>
      <c r="P68" s="307">
        <v>0.975</v>
      </c>
      <c r="Q68" s="307"/>
      <c r="AD68" s="149">
        <f>+E28</f>
        <v>9</v>
      </c>
      <c r="AE68" s="149">
        <f>+G28</f>
        <v>14</v>
      </c>
      <c r="AF68" s="149" t="str">
        <f>+I28</f>
        <v>hill walk</v>
      </c>
      <c r="AG68" s="149" t="str">
        <f>+K28</f>
        <v>hill walk</v>
      </c>
      <c r="AH68" s="149">
        <f>+M28</f>
        <v>13</v>
      </c>
      <c r="AI68" s="149">
        <f>+O28</f>
        <v>0</v>
      </c>
      <c r="AJ68" s="149">
        <f>+Q28</f>
        <v>23.5</v>
      </c>
      <c r="AK68" s="136">
        <f t="shared" si="3"/>
        <v>59.5</v>
      </c>
    </row>
    <row r="69" spans="9:37" ht="15" customHeight="1">
      <c r="I69" s="116"/>
      <c r="J69" s="114"/>
      <c r="L69" s="125"/>
      <c r="M69" s="125"/>
      <c r="N69" s="114"/>
      <c r="P69" s="114"/>
      <c r="AD69" s="149">
        <f>+E30</f>
        <v>0</v>
      </c>
      <c r="AE69" s="149">
        <f>+G30</f>
        <v>0</v>
      </c>
      <c r="AF69" s="149">
        <f>+I30</f>
        <v>13</v>
      </c>
      <c r="AG69" s="149">
        <f>+K30</f>
        <v>18</v>
      </c>
      <c r="AH69" s="149">
        <f>+M30</f>
        <v>0</v>
      </c>
      <c r="AI69" s="149">
        <f>+O30</f>
        <v>30.5</v>
      </c>
      <c r="AJ69" s="149">
        <f>+Q30</f>
        <v>10</v>
      </c>
      <c r="AK69" s="136">
        <f t="shared" si="3"/>
        <v>71.5</v>
      </c>
    </row>
    <row r="70" spans="30:37" ht="12.75">
      <c r="AD70" s="149" t="str">
        <f>+E32</f>
        <v>gym</v>
      </c>
      <c r="AE70" s="149">
        <f>+G32</f>
        <v>18</v>
      </c>
      <c r="AF70" s="149">
        <f>+I32</f>
        <v>10</v>
      </c>
      <c r="AG70" s="149">
        <f>+K32</f>
        <v>0</v>
      </c>
      <c r="AH70" s="149">
        <f>+M32</f>
        <v>17</v>
      </c>
      <c r="AI70" s="149" t="str">
        <f>+O32</f>
        <v>gym</v>
      </c>
      <c r="AJ70" s="149">
        <f>+Q32</f>
        <v>8.6</v>
      </c>
      <c r="AK70" s="136">
        <f t="shared" si="3"/>
        <v>53.6</v>
      </c>
    </row>
    <row r="71" spans="30:37" ht="12.75">
      <c r="AD71" s="149">
        <f>+E34</f>
        <v>11</v>
      </c>
      <c r="AE71" s="149">
        <f>+G34</f>
        <v>30.5</v>
      </c>
      <c r="AF71" s="149">
        <f>+I34</f>
        <v>0</v>
      </c>
      <c r="AG71" s="149">
        <f>+K34</f>
        <v>0</v>
      </c>
      <c r="AH71" s="149">
        <f>+M34</f>
        <v>0</v>
      </c>
      <c r="AI71" s="149">
        <f>+O34</f>
        <v>11.5</v>
      </c>
      <c r="AJ71" s="149">
        <f>+Q34</f>
        <v>16.5</v>
      </c>
      <c r="AK71" s="136">
        <f t="shared" si="3"/>
        <v>69.5</v>
      </c>
    </row>
    <row r="72" spans="30:37" ht="12.75">
      <c r="AD72" s="149">
        <f>+E36</f>
        <v>11.5</v>
      </c>
      <c r="AE72" s="149">
        <f>+G36</f>
        <v>0</v>
      </c>
      <c r="AF72" s="149">
        <f>+I36</f>
        <v>0</v>
      </c>
      <c r="AG72" s="149">
        <f>+K36</f>
        <v>0</v>
      </c>
      <c r="AH72" s="149">
        <f>+M36</f>
        <v>10</v>
      </c>
      <c r="AI72" s="149">
        <f>+O36</f>
        <v>0</v>
      </c>
      <c r="AJ72" s="149">
        <f>+Q36</f>
        <v>42.2</v>
      </c>
      <c r="AK72" s="136">
        <f>SUM(AD72:AJ72)</f>
        <v>63.7</v>
      </c>
    </row>
    <row r="73" spans="30:37" ht="12.75">
      <c r="AD73" s="127">
        <f>DCOUNT(dbmoist,"mo",AM43:AM44)</f>
        <v>0</v>
      </c>
      <c r="AE73" s="127">
        <f>DCOUNT(dbdiist,"di",AN43:AN44)</f>
        <v>2</v>
      </c>
      <c r="AF73" s="127">
        <f>DCOUNT(dbmiist,"mi",AO43:AO44)</f>
        <v>0</v>
      </c>
      <c r="AG73" s="127">
        <f>DCOUNT(dbdoist,"do",AP43:AP44)</f>
        <v>0</v>
      </c>
      <c r="AH73" s="127">
        <f>DCOUNT(dbfrist,"fr",AQ43:AQ44)</f>
        <v>0</v>
      </c>
      <c r="AI73" s="127">
        <f>DCOUNT(dbsaist,"sa",AR43:AR44)</f>
        <v>1</v>
      </c>
      <c r="AJ73" s="127">
        <f>DCOUNT(dbsoist,"so",AS43:AS44)</f>
        <v>2</v>
      </c>
      <c r="AK73" s="127">
        <f>SUM(AD73:AJ73)-AK74-AK75</f>
        <v>1</v>
      </c>
    </row>
    <row r="74" spans="30:37" ht="12.75">
      <c r="AD74" s="127">
        <f>DCOUNT(dbmoist,"mo",AM45:AM46)</f>
        <v>0</v>
      </c>
      <c r="AE74" s="127">
        <f>DCOUNT(dbdiist,"di",AN45:AN46)</f>
        <v>2</v>
      </c>
      <c r="AF74" s="127">
        <f>DCOUNT(dbmiist,"mi",AO45:AO46)</f>
        <v>0</v>
      </c>
      <c r="AG74" s="127">
        <f>DCOUNT(dbdoist,"do",AP45:AP46)</f>
        <v>0</v>
      </c>
      <c r="AH74" s="127">
        <f>DCOUNT(dbfrist,"fr",AQ45:AQ46)</f>
        <v>0</v>
      </c>
      <c r="AI74" s="127">
        <f>DCOUNT(dbsaist,"sa",AR45:AR46)</f>
        <v>1</v>
      </c>
      <c r="AJ74" s="127">
        <f>DCOUNT(dbsoist,"so",AS45:AS46)</f>
        <v>1</v>
      </c>
      <c r="AK74" s="127">
        <f>SUM(AD74:AJ74)-AK75</f>
        <v>0</v>
      </c>
    </row>
    <row r="75" spans="30:37" ht="12.75">
      <c r="AD75" s="127">
        <f>DCOUNT(dbmoist,"mo",AM47:AM48)</f>
        <v>0</v>
      </c>
      <c r="AE75" s="127">
        <f>DCOUNT(dbdiist,"di",AN47:AN48)</f>
        <v>2</v>
      </c>
      <c r="AF75" s="127">
        <f>DCOUNT(dbmiist,"mi",AO47:AO48)</f>
        <v>0</v>
      </c>
      <c r="AG75" s="127">
        <f>DCOUNT(dbdoist,"do",AP47:AP48)</f>
        <v>0</v>
      </c>
      <c r="AH75" s="127">
        <f>DCOUNT(dbfrist,"fr",AQ47:AQ48)</f>
        <v>0</v>
      </c>
      <c r="AI75" s="127">
        <f>DCOUNT(dbsaist,"sa",AR47:AR48)</f>
        <v>1</v>
      </c>
      <c r="AJ75" s="127">
        <f>DCOUNT(dbsoist,"so",AS47:AS48)</f>
        <v>1</v>
      </c>
      <c r="AK75" s="127">
        <f>SUM(AD75:AJ75)</f>
        <v>4</v>
      </c>
    </row>
  </sheetData>
  <mergeCells count="93">
    <mergeCell ref="N68:O68"/>
    <mergeCell ref="N67:O67"/>
    <mergeCell ref="N66:O66"/>
    <mergeCell ref="N64:O64"/>
    <mergeCell ref="N65:O65"/>
    <mergeCell ref="P68:Q68"/>
    <mergeCell ref="P66:Q66"/>
    <mergeCell ref="P64:Q64"/>
    <mergeCell ref="P65:Q65"/>
    <mergeCell ref="E68:G68"/>
    <mergeCell ref="E63:G63"/>
    <mergeCell ref="E64:G64"/>
    <mergeCell ref="E65:G65"/>
    <mergeCell ref="E66:G66"/>
    <mergeCell ref="E67:G67"/>
    <mergeCell ref="AA66:AA67"/>
    <mergeCell ref="E61:G61"/>
    <mergeCell ref="Z66:Z67"/>
    <mergeCell ref="P60:Q60"/>
    <mergeCell ref="N60:O60"/>
    <mergeCell ref="P61:Q61"/>
    <mergeCell ref="AA62:AA63"/>
    <mergeCell ref="AA64:AA65"/>
    <mergeCell ref="P67:Q67"/>
    <mergeCell ref="N63:O63"/>
    <mergeCell ref="AA58:AA59"/>
    <mergeCell ref="AA60:AA61"/>
    <mergeCell ref="E62:G62"/>
    <mergeCell ref="E60:G60"/>
    <mergeCell ref="N61:O61"/>
    <mergeCell ref="N62:O62"/>
    <mergeCell ref="P62:Q62"/>
    <mergeCell ref="P59:Q59"/>
    <mergeCell ref="Z62:Z63"/>
    <mergeCell ref="Z64:Z65"/>
    <mergeCell ref="D27:D28"/>
    <mergeCell ref="D29:D30"/>
    <mergeCell ref="D35:D36"/>
    <mergeCell ref="T40:U40"/>
    <mergeCell ref="Z58:Z59"/>
    <mergeCell ref="Z60:Z61"/>
    <mergeCell ref="P63:Q63"/>
    <mergeCell ref="C35:C36"/>
    <mergeCell ref="B31:B32"/>
    <mergeCell ref="B33:B34"/>
    <mergeCell ref="B35:B36"/>
    <mergeCell ref="C33:C34"/>
    <mergeCell ref="C31:C32"/>
    <mergeCell ref="B27:B28"/>
    <mergeCell ref="D33:D34"/>
    <mergeCell ref="B21:B22"/>
    <mergeCell ref="C25:C26"/>
    <mergeCell ref="C27:C28"/>
    <mergeCell ref="B29:B30"/>
    <mergeCell ref="C29:C30"/>
    <mergeCell ref="D23:D24"/>
    <mergeCell ref="D31:D32"/>
    <mergeCell ref="C21:C22"/>
    <mergeCell ref="K9:L9"/>
    <mergeCell ref="O11:P11"/>
    <mergeCell ref="B23:B24"/>
    <mergeCell ref="B25:B26"/>
    <mergeCell ref="C23:C24"/>
    <mergeCell ref="D21:D22"/>
    <mergeCell ref="D25:D26"/>
    <mergeCell ref="B17:B18"/>
    <mergeCell ref="B19:B20"/>
    <mergeCell ref="D17:D18"/>
    <mergeCell ref="D2:E2"/>
    <mergeCell ref="B6:D6"/>
    <mergeCell ref="B11:B12"/>
    <mergeCell ref="C11:C12"/>
    <mergeCell ref="D11:D12"/>
    <mergeCell ref="B9:B10"/>
    <mergeCell ref="C9:C10"/>
    <mergeCell ref="D9:D10"/>
    <mergeCell ref="B7:B8"/>
    <mergeCell ref="E9:F9"/>
    <mergeCell ref="D15:D16"/>
    <mergeCell ref="C15:C16"/>
    <mergeCell ref="D19:D20"/>
    <mergeCell ref="C17:C18"/>
    <mergeCell ref="C19:C20"/>
    <mergeCell ref="B4:T4"/>
    <mergeCell ref="T37:U37"/>
    <mergeCell ref="T38:U38"/>
    <mergeCell ref="T39:U39"/>
    <mergeCell ref="C7:C8"/>
    <mergeCell ref="D7:D8"/>
    <mergeCell ref="D13:D14"/>
    <mergeCell ref="B13:B14"/>
    <mergeCell ref="C13:C14"/>
    <mergeCell ref="B15:B16"/>
  </mergeCells>
  <hyperlinks>
    <hyperlink ref="U27" r:id="rId1" display="Suedtirol Halbmarathon"/>
    <hyperlink ref="U29" r:id="rId2" display="Ruhrtal Halbmarathon"/>
    <hyperlink ref="U35" r:id="rId3" display="NYC Marathon"/>
  </hyperlinks>
  <printOptions horizontalCentered="1" verticalCentered="1"/>
  <pageMargins left="0.12" right="0.55" top="0.42" bottom="0.31496062992125984" header="0.2" footer="0.1968503937007874"/>
  <pageSetup fitToHeight="1" fitToWidth="1" horizontalDpi="360" verticalDpi="360" orientation="portrait" paperSize="9" scale="8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5:J57"/>
  <sheetViews>
    <sheetView workbookViewId="0" topLeftCell="A1">
      <selection activeCell="A1" sqref="A1"/>
    </sheetView>
  </sheetViews>
  <sheetFormatPr defaultColWidth="11.5546875" defaultRowHeight="15"/>
  <cols>
    <col min="1" max="1" width="5.4453125" style="0" customWidth="1"/>
    <col min="2" max="2" width="6.21484375" style="0" customWidth="1"/>
    <col min="3" max="3" width="7.77734375" style="61" customWidth="1"/>
    <col min="4" max="4" width="7.99609375" style="62" customWidth="1"/>
    <col min="5" max="5" width="9.4453125" style="61" customWidth="1"/>
    <col min="6" max="6" width="8.77734375" style="61" bestFit="1" customWidth="1"/>
    <col min="7" max="7" width="5.4453125" style="0" bestFit="1" customWidth="1"/>
    <col min="10" max="10" width="12.10546875" style="0" customWidth="1"/>
    <col min="11" max="11" width="8.99609375" style="0" customWidth="1"/>
    <col min="12" max="12" width="4.8867187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>
      <c r="A25" t="s">
        <v>80</v>
      </c>
    </row>
    <row r="26" ht="15"/>
    <row r="27" spans="1:10" ht="16.5" thickBot="1">
      <c r="A27" s="61" t="s">
        <v>78</v>
      </c>
      <c r="B27" s="81" t="s">
        <v>52</v>
      </c>
      <c r="C27" s="62" t="s">
        <v>52</v>
      </c>
      <c r="D27" s="82" t="s">
        <v>53</v>
      </c>
      <c r="E27" s="61" t="s">
        <v>50</v>
      </c>
      <c r="F27" s="83" t="s">
        <v>54</v>
      </c>
      <c r="G27" s="86" t="s">
        <v>51</v>
      </c>
      <c r="H27" s="82" t="s">
        <v>76</v>
      </c>
      <c r="I27" s="58">
        <v>0.0046875</v>
      </c>
      <c r="J27" s="75">
        <f>+I27</f>
        <v>0.0046875</v>
      </c>
    </row>
    <row r="28" spans="1:10" ht="15.75">
      <c r="A28" s="57">
        <v>1</v>
      </c>
      <c r="B28" s="76">
        <v>0.0052662037037037035</v>
      </c>
      <c r="C28" s="62">
        <v>0.005439814814814815</v>
      </c>
      <c r="D28" s="78">
        <v>0.005543981481481482</v>
      </c>
      <c r="E28" s="64">
        <f>+D28</f>
        <v>0.005543981481481482</v>
      </c>
      <c r="F28" s="76">
        <f>+E28/A28</f>
        <v>0.005543981481481482</v>
      </c>
      <c r="G28" s="87">
        <v>118</v>
      </c>
      <c r="H28" s="78">
        <f>+D28/1.609</f>
        <v>0.0034456068871855077</v>
      </c>
      <c r="I28" s="58">
        <v>0.005902777777777778</v>
      </c>
      <c r="J28" s="75">
        <f>+I28</f>
        <v>0.005902777777777778</v>
      </c>
    </row>
    <row r="29" spans="1:10" ht="15.75">
      <c r="A29" s="57">
        <v>2</v>
      </c>
      <c r="B29" s="76">
        <v>0.0052662037037037035</v>
      </c>
      <c r="C29" s="62">
        <v>0.005439814814814815</v>
      </c>
      <c r="D29" s="78">
        <v>0.005729166666666667</v>
      </c>
      <c r="E29" s="64">
        <f>+E28+D29</f>
        <v>0.01127314814814815</v>
      </c>
      <c r="F29" s="76">
        <f>+E29/A29</f>
        <v>0.005636574074074075</v>
      </c>
      <c r="G29" s="87">
        <v>121</v>
      </c>
      <c r="H29" s="78">
        <f aca="true" t="shared" si="0" ref="H29:H53">+D29/1.609</f>
        <v>0.0035607002278848147</v>
      </c>
      <c r="I29" s="58">
        <v>0.003993055555555556</v>
      </c>
      <c r="J29" s="75">
        <f>+I29</f>
        <v>0.003993055555555556</v>
      </c>
    </row>
    <row r="30" spans="1:10" ht="15.75">
      <c r="A30" s="57">
        <v>3</v>
      </c>
      <c r="B30" s="76">
        <v>0.0052662037037037035</v>
      </c>
      <c r="C30" s="62">
        <v>0.005381944444444445</v>
      </c>
      <c r="D30" s="78">
        <v>0.005474537037037037</v>
      </c>
      <c r="E30" s="64">
        <f aca="true" t="shared" si="1" ref="E30:E52">+E29+D30</f>
        <v>0.01674768518518519</v>
      </c>
      <c r="F30" s="76">
        <f aca="true" t="shared" si="2" ref="F30:F53">+E30/A30</f>
        <v>0.005582561728395063</v>
      </c>
      <c r="G30" s="87">
        <v>126</v>
      </c>
      <c r="H30" s="78">
        <f t="shared" si="0"/>
        <v>0.0034024468844232676</v>
      </c>
      <c r="I30" s="58">
        <v>0.004166666666666667</v>
      </c>
      <c r="J30" s="75">
        <f>+I30</f>
        <v>0.004166666666666667</v>
      </c>
    </row>
    <row r="31" spans="1:10" ht="15.75">
      <c r="A31" s="57">
        <v>4</v>
      </c>
      <c r="B31" s="76">
        <v>0.0052662037037037035</v>
      </c>
      <c r="C31" s="62">
        <v>0.005324074074074075</v>
      </c>
      <c r="D31" s="78">
        <v>0.004861111111111111</v>
      </c>
      <c r="E31" s="64">
        <f t="shared" si="1"/>
        <v>0.0216087962962963</v>
      </c>
      <c r="F31" s="76">
        <f t="shared" si="2"/>
        <v>0.005402199074074075</v>
      </c>
      <c r="G31" s="87">
        <v>131</v>
      </c>
      <c r="H31" s="78">
        <f t="shared" si="0"/>
        <v>0.0030212001933568123</v>
      </c>
      <c r="I31" s="58">
        <v>0.00017361111111111112</v>
      </c>
      <c r="J31" s="75">
        <f>+I31</f>
        <v>0.00017361111111111112</v>
      </c>
    </row>
    <row r="32" spans="1:10" ht="15.75">
      <c r="A32" s="57">
        <v>5</v>
      </c>
      <c r="B32" s="77">
        <v>0.0052662037037037035</v>
      </c>
      <c r="C32" s="63">
        <v>0.005324074074074075</v>
      </c>
      <c r="D32" s="79">
        <v>0.0050347222222222225</v>
      </c>
      <c r="E32" s="65">
        <f t="shared" si="1"/>
        <v>0.02664351851851852</v>
      </c>
      <c r="F32" s="77">
        <f t="shared" si="2"/>
        <v>0.005328703703703704</v>
      </c>
      <c r="G32" s="88">
        <v>134</v>
      </c>
      <c r="H32" s="78">
        <f t="shared" si="0"/>
        <v>0.003129100200262413</v>
      </c>
      <c r="I32" s="310" t="s">
        <v>79</v>
      </c>
      <c r="J32" s="310"/>
    </row>
    <row r="33" spans="1:8" ht="15.75">
      <c r="A33" s="57">
        <v>6</v>
      </c>
      <c r="B33" s="76">
        <v>0.0052662037037037035</v>
      </c>
      <c r="C33" s="62">
        <v>0.0052662037037037035</v>
      </c>
      <c r="D33" s="78">
        <v>0.005300925925925925</v>
      </c>
      <c r="E33" s="64">
        <f t="shared" si="1"/>
        <v>0.03194444444444445</v>
      </c>
      <c r="F33" s="76">
        <f t="shared" si="2"/>
        <v>0.005324074074074075</v>
      </c>
      <c r="G33" s="87">
        <v>135</v>
      </c>
      <c r="H33" s="78">
        <f t="shared" si="0"/>
        <v>0.0032945468775176664</v>
      </c>
    </row>
    <row r="34" spans="1:8" ht="15.75">
      <c r="A34" s="57">
        <v>7</v>
      </c>
      <c r="B34" s="76">
        <v>0.0052662037037037035</v>
      </c>
      <c r="C34" s="62">
        <v>0.0052662037037037035</v>
      </c>
      <c r="D34" s="78">
        <v>0.005300925925925925</v>
      </c>
      <c r="E34" s="64">
        <f t="shared" si="1"/>
        <v>0.03724537037037037</v>
      </c>
      <c r="F34" s="76">
        <f t="shared" si="2"/>
        <v>0.005320767195767196</v>
      </c>
      <c r="G34" s="87">
        <v>132</v>
      </c>
      <c r="H34" s="78">
        <f t="shared" si="0"/>
        <v>0.0032945468775176664</v>
      </c>
    </row>
    <row r="35" spans="1:8" ht="15.75">
      <c r="A35" s="57">
        <v>8</v>
      </c>
      <c r="B35" s="76">
        <v>0.0052662037037037035</v>
      </c>
      <c r="C35" s="62">
        <v>0.0052662037037037035</v>
      </c>
      <c r="D35" s="78">
        <v>0.0051967592592592595</v>
      </c>
      <c r="E35" s="64">
        <f t="shared" si="1"/>
        <v>0.042442129629629635</v>
      </c>
      <c r="F35" s="76">
        <f t="shared" si="2"/>
        <v>0.005305266203703704</v>
      </c>
      <c r="G35" s="87">
        <v>131</v>
      </c>
      <c r="H35" s="78">
        <f t="shared" si="0"/>
        <v>0.003229806873374307</v>
      </c>
    </row>
    <row r="36" spans="1:8" ht="15.75">
      <c r="A36" s="57">
        <v>9</v>
      </c>
      <c r="B36" s="76">
        <v>0.0052662037037037035</v>
      </c>
      <c r="C36" s="62">
        <v>0.0052662037037037035</v>
      </c>
      <c r="D36" s="78">
        <v>0.005277777777777777</v>
      </c>
      <c r="E36" s="64">
        <f t="shared" si="1"/>
        <v>0.04771990740740741</v>
      </c>
      <c r="F36" s="76">
        <f t="shared" si="2"/>
        <v>0.005302211934156379</v>
      </c>
      <c r="G36" s="87">
        <v>132</v>
      </c>
      <c r="H36" s="78">
        <f t="shared" si="0"/>
        <v>0.003280160209930253</v>
      </c>
    </row>
    <row r="37" spans="1:8" ht="15.75">
      <c r="A37" s="57">
        <v>10</v>
      </c>
      <c r="B37" s="77">
        <v>0.0052662037037037035</v>
      </c>
      <c r="C37" s="63">
        <v>0.0052662037037037035</v>
      </c>
      <c r="D37" s="79">
        <v>0.005694444444444444</v>
      </c>
      <c r="E37" s="65">
        <f t="shared" si="1"/>
        <v>0.05341435185185186</v>
      </c>
      <c r="F37" s="77">
        <f t="shared" si="2"/>
        <v>0.005341435185185186</v>
      </c>
      <c r="G37" s="88">
        <v>131</v>
      </c>
      <c r="H37" s="78">
        <f t="shared" si="0"/>
        <v>0.003539120226503694</v>
      </c>
    </row>
    <row r="38" spans="1:8" ht="15.75">
      <c r="A38" s="57">
        <v>11</v>
      </c>
      <c r="B38" s="76">
        <v>0.0052662037037037035</v>
      </c>
      <c r="C38" s="62">
        <v>0.005208333333333333</v>
      </c>
      <c r="D38" s="80">
        <v>0.0051967592592592595</v>
      </c>
      <c r="E38" s="64">
        <f t="shared" si="1"/>
        <v>0.05861111111111112</v>
      </c>
      <c r="F38" s="76">
        <f t="shared" si="2"/>
        <v>0.005328282828282829</v>
      </c>
      <c r="G38" s="87">
        <v>133</v>
      </c>
      <c r="H38" s="78">
        <f t="shared" si="0"/>
        <v>0.003229806873374307</v>
      </c>
    </row>
    <row r="39" spans="1:8" ht="15.75">
      <c r="A39" s="57">
        <v>12</v>
      </c>
      <c r="B39" s="76">
        <v>0.0052662037037037035</v>
      </c>
      <c r="C39" s="62">
        <v>0.005208333333333333</v>
      </c>
      <c r="D39" s="78">
        <v>0.005393518518518519</v>
      </c>
      <c r="E39" s="64">
        <f t="shared" si="1"/>
        <v>0.06400462962962963</v>
      </c>
      <c r="F39" s="76">
        <f t="shared" si="2"/>
        <v>0.00533371913580247</v>
      </c>
      <c r="G39" s="87">
        <v>132</v>
      </c>
      <c r="H39" s="78">
        <f t="shared" si="0"/>
        <v>0.0033520935478673205</v>
      </c>
    </row>
    <row r="40" spans="1:8" ht="15.75">
      <c r="A40" s="57">
        <v>13</v>
      </c>
      <c r="B40" s="76">
        <v>0.0052662037037037035</v>
      </c>
      <c r="C40" s="62">
        <v>0.005208333333333333</v>
      </c>
      <c r="D40" s="78">
        <v>0.005393518518518519</v>
      </c>
      <c r="E40" s="64">
        <f t="shared" si="1"/>
        <v>0.06939814814814815</v>
      </c>
      <c r="F40" s="76">
        <f t="shared" si="2"/>
        <v>0.005338319088319088</v>
      </c>
      <c r="G40" s="87">
        <v>132</v>
      </c>
      <c r="H40" s="78">
        <f t="shared" si="0"/>
        <v>0.0033520935478673205</v>
      </c>
    </row>
    <row r="41" spans="1:8" ht="15.75">
      <c r="A41" s="57">
        <v>14</v>
      </c>
      <c r="B41" s="76">
        <v>0.0052662037037037035</v>
      </c>
      <c r="C41" s="62">
        <v>0.005208333333333333</v>
      </c>
      <c r="D41" s="78">
        <v>0.005393518518518519</v>
      </c>
      <c r="E41" s="64">
        <f t="shared" si="1"/>
        <v>0.07479166666666667</v>
      </c>
      <c r="F41" s="76">
        <f t="shared" si="2"/>
        <v>0.005342261904761905</v>
      </c>
      <c r="G41" s="87">
        <v>133</v>
      </c>
      <c r="H41" s="78">
        <f t="shared" si="0"/>
        <v>0.0033520935478673205</v>
      </c>
    </row>
    <row r="42" spans="1:9" ht="15.75">
      <c r="A42" s="57">
        <v>15</v>
      </c>
      <c r="B42" s="77">
        <v>0.0052662037037037035</v>
      </c>
      <c r="C42" s="63">
        <v>0.005208333333333333</v>
      </c>
      <c r="D42" s="79">
        <v>0.005324074074074075</v>
      </c>
      <c r="E42" s="65">
        <f t="shared" si="1"/>
        <v>0.08011574074074075</v>
      </c>
      <c r="F42" s="77">
        <f t="shared" si="2"/>
        <v>0.00534104938271605</v>
      </c>
      <c r="G42" s="88">
        <v>132</v>
      </c>
      <c r="H42" s="78">
        <f t="shared" si="0"/>
        <v>0.003308933545105081</v>
      </c>
      <c r="I42" s="58"/>
    </row>
    <row r="43" spans="1:9" ht="15.75">
      <c r="A43" s="57">
        <v>16</v>
      </c>
      <c r="B43" s="76">
        <v>0.0052662037037037035</v>
      </c>
      <c r="C43" s="62">
        <v>0.005208333333333333</v>
      </c>
      <c r="D43" s="80">
        <v>0.005335648148148148</v>
      </c>
      <c r="E43" s="64">
        <f t="shared" si="1"/>
        <v>0.0854513888888889</v>
      </c>
      <c r="F43" s="76">
        <f t="shared" si="2"/>
        <v>0.005340711805555556</v>
      </c>
      <c r="G43" s="87">
        <v>134</v>
      </c>
      <c r="H43" s="78">
        <f t="shared" si="0"/>
        <v>0.003316126878898787</v>
      </c>
      <c r="I43" s="58"/>
    </row>
    <row r="44" spans="1:9" ht="15.75">
      <c r="A44" s="57">
        <v>17</v>
      </c>
      <c r="B44" s="76">
        <v>0.0052662037037037035</v>
      </c>
      <c r="C44" s="62">
        <v>0.005208333333333333</v>
      </c>
      <c r="D44" s="78">
        <v>0.005324074074074075</v>
      </c>
      <c r="E44" s="64">
        <f t="shared" si="1"/>
        <v>0.09077546296296297</v>
      </c>
      <c r="F44" s="76">
        <f t="shared" si="2"/>
        <v>0.00533973311546841</v>
      </c>
      <c r="G44" s="87">
        <v>134</v>
      </c>
      <c r="H44" s="78">
        <f t="shared" si="0"/>
        <v>0.003308933545105081</v>
      </c>
      <c r="I44" s="58"/>
    </row>
    <row r="45" spans="1:8" ht="15.75">
      <c r="A45" s="57">
        <v>18</v>
      </c>
      <c r="B45" s="76">
        <v>0.0052662037037037035</v>
      </c>
      <c r="C45" s="62">
        <v>0.0052662037037037035</v>
      </c>
      <c r="D45" s="78">
        <v>0.0053125</v>
      </c>
      <c r="E45" s="64">
        <f t="shared" si="1"/>
        <v>0.09608796296296297</v>
      </c>
      <c r="F45" s="76">
        <f t="shared" si="2"/>
        <v>0.005338220164609054</v>
      </c>
      <c r="G45" s="87">
        <v>135</v>
      </c>
      <c r="H45" s="78">
        <f t="shared" si="0"/>
        <v>0.003301740211311374</v>
      </c>
    </row>
    <row r="46" spans="1:8" ht="15.75">
      <c r="A46" s="57">
        <v>19</v>
      </c>
      <c r="B46" s="76">
        <v>0.0052662037037037035</v>
      </c>
      <c r="C46" s="62">
        <v>0.0052662037037037035</v>
      </c>
      <c r="D46" s="78">
        <v>0.0052893518518518515</v>
      </c>
      <c r="E46" s="64">
        <f t="shared" si="1"/>
        <v>0.10137731481481482</v>
      </c>
      <c r="F46" s="76">
        <f t="shared" si="2"/>
        <v>0.005335648148148148</v>
      </c>
      <c r="G46" s="87">
        <v>136</v>
      </c>
      <c r="H46" s="78">
        <f t="shared" si="0"/>
        <v>0.0032873535437239598</v>
      </c>
    </row>
    <row r="47" spans="1:8" ht="15.75">
      <c r="A47" s="57">
        <v>20</v>
      </c>
      <c r="B47" s="77">
        <v>0.0052662037037037035</v>
      </c>
      <c r="C47" s="63">
        <v>0.0052662037037037035</v>
      </c>
      <c r="D47" s="79">
        <v>0.0052893518518518515</v>
      </c>
      <c r="E47" s="65">
        <f t="shared" si="1"/>
        <v>0.10666666666666667</v>
      </c>
      <c r="F47" s="77">
        <f t="shared" si="2"/>
        <v>0.005333333333333334</v>
      </c>
      <c r="G47" s="88">
        <v>137</v>
      </c>
      <c r="H47" s="78">
        <f t="shared" si="0"/>
        <v>0.0032873535437239598</v>
      </c>
    </row>
    <row r="48" spans="1:8" ht="15.75">
      <c r="A48" s="57">
        <v>21</v>
      </c>
      <c r="B48" s="76">
        <v>0.0052662037037037035</v>
      </c>
      <c r="C48" s="62">
        <v>0.005324074074074075</v>
      </c>
      <c r="D48" s="80">
        <v>0.0052893518518518515</v>
      </c>
      <c r="E48" s="64">
        <f t="shared" si="1"/>
        <v>0.11195601851851852</v>
      </c>
      <c r="F48" s="76">
        <f t="shared" si="2"/>
        <v>0.0053312389770723105</v>
      </c>
      <c r="G48" s="87">
        <v>138</v>
      </c>
      <c r="H48" s="78">
        <f t="shared" si="0"/>
        <v>0.0032873535437239598</v>
      </c>
    </row>
    <row r="49" spans="1:8" ht="15.75">
      <c r="A49" s="57">
        <v>22</v>
      </c>
      <c r="B49" s="76">
        <v>0.0052662037037037035</v>
      </c>
      <c r="C49" s="62">
        <v>0.005324074074074075</v>
      </c>
      <c r="D49" s="78">
        <v>0.0052893518518518515</v>
      </c>
      <c r="E49" s="64">
        <f t="shared" si="1"/>
        <v>0.11724537037037037</v>
      </c>
      <c r="F49" s="76">
        <f t="shared" si="2"/>
        <v>0.005329335016835017</v>
      </c>
      <c r="G49" s="87">
        <v>138</v>
      </c>
      <c r="H49" s="78">
        <f t="shared" si="0"/>
        <v>0.0032873535437239598</v>
      </c>
    </row>
    <row r="50" spans="1:8" ht="15.75">
      <c r="A50" s="57">
        <v>23</v>
      </c>
      <c r="B50" s="76">
        <v>0.0052662037037037035</v>
      </c>
      <c r="C50" s="62">
        <v>0.005381944444444445</v>
      </c>
      <c r="D50" s="78">
        <v>0.005335648148148148</v>
      </c>
      <c r="E50" s="64">
        <f t="shared" si="1"/>
        <v>0.12258101851851852</v>
      </c>
      <c r="F50" s="76">
        <f t="shared" si="2"/>
        <v>0.005329609500805153</v>
      </c>
      <c r="G50" s="87">
        <v>140</v>
      </c>
      <c r="H50" s="78">
        <f t="shared" si="0"/>
        <v>0.003316126878898787</v>
      </c>
    </row>
    <row r="51" spans="1:8" ht="15.75">
      <c r="A51" s="57">
        <v>24</v>
      </c>
      <c r="B51" s="76">
        <v>0.0052662037037037035</v>
      </c>
      <c r="C51" s="62">
        <v>0.005381944444444445</v>
      </c>
      <c r="D51" s="78">
        <v>0.005324074074074075</v>
      </c>
      <c r="E51" s="64">
        <f t="shared" si="1"/>
        <v>0.12790509259259258</v>
      </c>
      <c r="F51" s="76">
        <f t="shared" si="2"/>
        <v>0.005329378858024691</v>
      </c>
      <c r="G51" s="87">
        <v>139</v>
      </c>
      <c r="H51" s="78">
        <f t="shared" si="0"/>
        <v>0.003308933545105081</v>
      </c>
    </row>
    <row r="52" spans="1:8" ht="15.75">
      <c r="A52" s="57">
        <v>25</v>
      </c>
      <c r="B52" s="77">
        <v>0.0052662037037037035</v>
      </c>
      <c r="C52" s="63">
        <v>0.005381944444444445</v>
      </c>
      <c r="D52" s="79">
        <v>0.005578703703703704</v>
      </c>
      <c r="E52" s="65">
        <f t="shared" si="1"/>
        <v>0.13348379629629628</v>
      </c>
      <c r="F52" s="77">
        <f t="shared" si="2"/>
        <v>0.005339351851851851</v>
      </c>
      <c r="G52" s="88">
        <v>139</v>
      </c>
      <c r="H52" s="78">
        <f t="shared" si="0"/>
        <v>0.0034671868885666275</v>
      </c>
    </row>
    <row r="53" spans="1:10" ht="15.75">
      <c r="A53" s="57">
        <v>26.2</v>
      </c>
      <c r="B53" s="76">
        <v>0.0052662037037037035</v>
      </c>
      <c r="C53" s="62">
        <v>0.005381944444444445</v>
      </c>
      <c r="D53" s="80">
        <v>0.005439814814814815</v>
      </c>
      <c r="E53" s="64">
        <f>+E52+D53*1.22</f>
        <v>0.14012037037037037</v>
      </c>
      <c r="F53" s="76">
        <f t="shared" si="2"/>
        <v>0.005348105739327113</v>
      </c>
      <c r="G53" s="87">
        <v>139</v>
      </c>
      <c r="H53" s="78">
        <f t="shared" si="0"/>
        <v>0.0033808668830421474</v>
      </c>
      <c r="I53" s="76"/>
      <c r="J53" s="76"/>
    </row>
    <row r="54" spans="1:10" ht="15">
      <c r="A54" s="57"/>
      <c r="B54" s="62"/>
      <c r="G54" s="59"/>
      <c r="I54" s="60"/>
      <c r="J54" s="60"/>
    </row>
    <row r="55" spans="3:5" ht="15">
      <c r="C55" s="62"/>
      <c r="E55" s="64"/>
    </row>
    <row r="56" spans="3:10" ht="15">
      <c r="C56" s="62"/>
      <c r="E56" s="64"/>
      <c r="J56" s="58"/>
    </row>
    <row r="57" ht="15">
      <c r="J57" s="58"/>
    </row>
  </sheetData>
  <mergeCells count="1">
    <mergeCell ref="I32:J32"/>
  </mergeCells>
  <printOptions/>
  <pageMargins left="0.75" right="0.75" top="1" bottom="1" header="0.4921259845" footer="0.4921259845"/>
  <pageSetup horizontalDpi="360" verticalDpi="36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workbookViewId="0" topLeftCell="A1">
      <selection activeCell="A2" sqref="A2"/>
    </sheetView>
  </sheetViews>
  <sheetFormatPr defaultColWidth="9.77734375" defaultRowHeight="15" outlineLevelRow="1"/>
  <cols>
    <col min="11" max="11" width="2.88671875" style="0" customWidth="1"/>
    <col min="12" max="12" width="7.6640625" style="0" customWidth="1"/>
    <col min="14" max="14" width="4.4453125" style="0" customWidth="1"/>
  </cols>
  <sheetData>
    <row r="1" spans="1:12" ht="15.75">
      <c r="A1" s="1" t="s">
        <v>44</v>
      </c>
      <c r="E1" s="8" t="s">
        <v>26</v>
      </c>
      <c r="F1" s="9">
        <f>F2/1.609</f>
        <v>26.22436295835923</v>
      </c>
      <c r="G1" s="9"/>
      <c r="H1" s="9"/>
      <c r="I1" s="10"/>
      <c r="J1" s="11"/>
      <c r="L1" s="44" t="s">
        <v>45</v>
      </c>
    </row>
    <row r="2" spans="5:12" ht="15">
      <c r="E2" s="12" t="s">
        <v>48</v>
      </c>
      <c r="F2" s="13">
        <v>42.195</v>
      </c>
      <c r="G2" s="13"/>
      <c r="H2" s="13"/>
      <c r="I2" s="14"/>
      <c r="J2" s="15"/>
      <c r="L2" s="45" t="s">
        <v>41</v>
      </c>
    </row>
    <row r="3" ht="15" customHeight="1">
      <c r="L3" s="25">
        <v>0.4222222222222222</v>
      </c>
    </row>
    <row r="4" spans="2:12" ht="3" customHeight="1" outlineLevel="1">
      <c r="B4">
        <f>+B5*60+B6</f>
        <v>180</v>
      </c>
      <c r="C4">
        <f aca="true" t="shared" si="0" ref="C4:L4">+C5*60+C6</f>
        <v>195</v>
      </c>
      <c r="D4">
        <f t="shared" si="0"/>
        <v>210</v>
      </c>
      <c r="E4">
        <f t="shared" si="0"/>
        <v>225</v>
      </c>
      <c r="F4">
        <f t="shared" si="0"/>
        <v>240</v>
      </c>
      <c r="G4">
        <f t="shared" si="0"/>
        <v>255</v>
      </c>
      <c r="H4">
        <f t="shared" si="0"/>
        <v>270</v>
      </c>
      <c r="I4">
        <f t="shared" si="0"/>
        <v>285</v>
      </c>
      <c r="J4">
        <f t="shared" si="0"/>
        <v>300</v>
      </c>
      <c r="L4">
        <f t="shared" si="0"/>
        <v>240</v>
      </c>
    </row>
    <row r="5" spans="1:12" ht="15" customHeight="1">
      <c r="A5" t="s">
        <v>42</v>
      </c>
      <c r="B5" s="3">
        <v>3</v>
      </c>
      <c r="C5" s="3">
        <v>3</v>
      </c>
      <c r="D5" s="3">
        <v>3</v>
      </c>
      <c r="E5" s="3">
        <v>3</v>
      </c>
      <c r="F5" s="3">
        <v>4</v>
      </c>
      <c r="G5" s="3">
        <v>4</v>
      </c>
      <c r="H5" s="3">
        <v>4</v>
      </c>
      <c r="I5" s="3">
        <v>4</v>
      </c>
      <c r="J5" s="3">
        <v>5</v>
      </c>
      <c r="L5" s="24">
        <v>4</v>
      </c>
    </row>
    <row r="6" spans="1:12" ht="15.75">
      <c r="A6" t="s">
        <v>43</v>
      </c>
      <c r="B6" s="259">
        <v>0</v>
      </c>
      <c r="C6" s="259">
        <v>15</v>
      </c>
      <c r="D6" s="259">
        <v>30</v>
      </c>
      <c r="E6" s="259">
        <v>45</v>
      </c>
      <c r="F6" s="259">
        <v>0</v>
      </c>
      <c r="G6" s="259">
        <v>15</v>
      </c>
      <c r="H6" s="259">
        <v>30</v>
      </c>
      <c r="I6" s="259">
        <v>45</v>
      </c>
      <c r="J6" s="259">
        <v>0</v>
      </c>
      <c r="L6" s="259">
        <v>0</v>
      </c>
    </row>
    <row r="7" spans="2:12" ht="8.25" customHeight="1">
      <c r="B7" s="3"/>
      <c r="C7" s="3"/>
      <c r="D7" s="3"/>
      <c r="E7" s="3"/>
      <c r="F7" s="3"/>
      <c r="G7" s="3"/>
      <c r="H7" s="3"/>
      <c r="I7" s="3"/>
      <c r="J7" s="3"/>
      <c r="L7" s="24"/>
    </row>
    <row r="8" spans="1:12" ht="15">
      <c r="A8" s="2" t="s">
        <v>47</v>
      </c>
      <c r="B8" s="4"/>
      <c r="C8" s="4"/>
      <c r="D8" s="4"/>
      <c r="E8" s="4"/>
      <c r="F8" s="4"/>
      <c r="G8" s="4"/>
      <c r="H8" s="4"/>
      <c r="I8" s="4"/>
      <c r="J8" s="5"/>
      <c r="L8" s="26"/>
    </row>
    <row r="9" spans="1:14" ht="15">
      <c r="A9" s="37">
        <v>1</v>
      </c>
      <c r="B9" s="34">
        <f aca="true" t="shared" si="1" ref="B9:J9">B4/$A$50/24/60</f>
        <v>0.002962436307619386</v>
      </c>
      <c r="C9" s="34">
        <f t="shared" si="1"/>
        <v>0.0032093059999210014</v>
      </c>
      <c r="D9" s="30">
        <f t="shared" si="1"/>
        <v>0.003456175692222617</v>
      </c>
      <c r="E9" s="34">
        <f t="shared" si="1"/>
        <v>0.0037030453845242326</v>
      </c>
      <c r="F9" s="34">
        <f t="shared" si="1"/>
        <v>0.003949915076825848</v>
      </c>
      <c r="G9" s="34">
        <f>G4/$A$50/24/60</f>
        <v>0.004196784769127464</v>
      </c>
      <c r="H9" s="34">
        <f>H4/$A$50/24/60</f>
        <v>0.00444365446142908</v>
      </c>
      <c r="I9" s="41">
        <f t="shared" si="1"/>
        <v>0.004690524153730695</v>
      </c>
      <c r="J9" s="34">
        <f t="shared" si="1"/>
        <v>0.00493739384603231</v>
      </c>
      <c r="L9" s="27">
        <f>($L$4/$A$50/24/60)*A9+$L$3</f>
        <v>0.42617213729904807</v>
      </c>
      <c r="M9" s="30"/>
      <c r="N9" s="113"/>
    </row>
    <row r="10" spans="1:14" ht="15" hidden="1" outlineLevel="1">
      <c r="A10" s="37">
        <v>2</v>
      </c>
      <c r="B10" s="34">
        <f>+A10*$B$9</f>
        <v>0.005924872615238772</v>
      </c>
      <c r="C10" s="34">
        <f>+A10*$C$9</f>
        <v>0.006418611999842003</v>
      </c>
      <c r="D10" s="30">
        <f>+A10*$D$9</f>
        <v>0.006912351384445234</v>
      </c>
      <c r="E10" s="34">
        <f aca="true" t="shared" si="2" ref="E10:E17">+A10*$E$9</f>
        <v>0.007406090769048465</v>
      </c>
      <c r="F10" s="34">
        <f>+A10*$F$9</f>
        <v>0.007899830153651696</v>
      </c>
      <c r="G10" s="34">
        <f>+B10*$F$9</f>
        <v>2.3402743671204215E-05</v>
      </c>
      <c r="H10" s="34">
        <f>+C10*$F$9</f>
        <v>2.5352972310471232E-05</v>
      </c>
      <c r="I10" s="41">
        <f>+A10*$I$9</f>
        <v>0.00938104830746139</v>
      </c>
      <c r="J10" s="34">
        <f>+A10*$J$9</f>
        <v>0.00987478769206462</v>
      </c>
      <c r="L10" s="27">
        <f>($L$4/$A$50/24/60)*A10+$L$3</f>
        <v>0.4301220523758739</v>
      </c>
      <c r="M10" s="30"/>
      <c r="N10" s="113"/>
    </row>
    <row r="11" spans="1:14" ht="15" hidden="1" outlineLevel="1">
      <c r="A11" s="37">
        <v>3</v>
      </c>
      <c r="B11" s="34">
        <f aca="true" t="shared" si="3" ref="B11:B27">+A11*$B$9</f>
        <v>0.008887308922858158</v>
      </c>
      <c r="C11" s="34">
        <f aca="true" t="shared" si="4" ref="C11:C27">+A11*$C$9</f>
        <v>0.009627917999763005</v>
      </c>
      <c r="D11" s="30">
        <f aca="true" t="shared" si="5" ref="D11:D27">+A11*$D$9</f>
        <v>0.010368527076667852</v>
      </c>
      <c r="E11" s="34">
        <f t="shared" si="2"/>
        <v>0.011109136153572698</v>
      </c>
      <c r="F11" s="34">
        <f aca="true" t="shared" si="6" ref="F11:H27">+A11*$F$9</f>
        <v>0.011849745230477543</v>
      </c>
      <c r="G11" s="34">
        <f t="shared" si="6"/>
        <v>3.5104115506806324E-05</v>
      </c>
      <c r="H11" s="34">
        <f t="shared" si="6"/>
        <v>3.802945846570685E-05</v>
      </c>
      <c r="I11" s="41">
        <f aca="true" t="shared" si="7" ref="I11:I27">+A11*$I$9</f>
        <v>0.014071572461192084</v>
      </c>
      <c r="J11" s="34">
        <f aca="true" t="shared" si="8" ref="J11:J27">+A11*$J$9</f>
        <v>0.01481218153809693</v>
      </c>
      <c r="L11" s="27">
        <f aca="true" t="shared" si="9" ref="L11:L27">($L$4/$A$50/24/60)*A11+$L$3</f>
        <v>0.43407196745269977</v>
      </c>
      <c r="M11" s="30"/>
      <c r="N11" s="113"/>
    </row>
    <row r="12" spans="1:14" ht="15" hidden="1" outlineLevel="1">
      <c r="A12" s="37">
        <v>4</v>
      </c>
      <c r="B12" s="34">
        <f t="shared" si="3"/>
        <v>0.011849745230477543</v>
      </c>
      <c r="C12" s="34">
        <f t="shared" si="4"/>
        <v>0.012837223999684006</v>
      </c>
      <c r="D12" s="30">
        <f t="shared" si="5"/>
        <v>0.013824702768890468</v>
      </c>
      <c r="E12" s="34">
        <f t="shared" si="2"/>
        <v>0.01481218153809693</v>
      </c>
      <c r="F12" s="34">
        <f t="shared" si="6"/>
        <v>0.01579966030730339</v>
      </c>
      <c r="G12" s="34">
        <f t="shared" si="6"/>
        <v>4.680548734240843E-05</v>
      </c>
      <c r="H12" s="34">
        <f t="shared" si="6"/>
        <v>5.0705944620942465E-05</v>
      </c>
      <c r="I12" s="41">
        <f t="shared" si="7"/>
        <v>0.01876209661492278</v>
      </c>
      <c r="J12" s="34">
        <f t="shared" si="8"/>
        <v>0.01974957538412924</v>
      </c>
      <c r="L12" s="27">
        <f t="shared" si="9"/>
        <v>0.4380218825295256</v>
      </c>
      <c r="M12" s="30"/>
      <c r="N12" s="113"/>
    </row>
    <row r="13" spans="1:14" ht="15" collapsed="1">
      <c r="A13" s="37">
        <v>5</v>
      </c>
      <c r="B13" s="34">
        <f t="shared" si="3"/>
        <v>0.014812181538096929</v>
      </c>
      <c r="C13" s="34">
        <f t="shared" si="4"/>
        <v>0.016046529999605007</v>
      </c>
      <c r="D13" s="30">
        <f t="shared" si="5"/>
        <v>0.017280878461113085</v>
      </c>
      <c r="E13" s="34">
        <f t="shared" si="2"/>
        <v>0.018515226922621163</v>
      </c>
      <c r="F13" s="34">
        <f t="shared" si="6"/>
        <v>0.01974957538412924</v>
      </c>
      <c r="G13" s="34">
        <f t="shared" si="6"/>
        <v>5.8506859178010535E-05</v>
      </c>
      <c r="H13" s="34">
        <f t="shared" si="6"/>
        <v>6.338243077617809E-05</v>
      </c>
      <c r="I13" s="41">
        <f t="shared" si="7"/>
        <v>0.023452620768653475</v>
      </c>
      <c r="J13" s="34">
        <f t="shared" si="8"/>
        <v>0.024686969230161553</v>
      </c>
      <c r="L13" s="27">
        <f t="shared" si="9"/>
        <v>0.44197179760635147</v>
      </c>
      <c r="N13" s="113"/>
    </row>
    <row r="14" spans="1:14" ht="15" hidden="1" outlineLevel="1">
      <c r="A14" s="37">
        <v>6</v>
      </c>
      <c r="B14" s="34">
        <f t="shared" si="3"/>
        <v>0.017774617845716316</v>
      </c>
      <c r="C14" s="34">
        <f t="shared" si="4"/>
        <v>0.01925583599952601</v>
      </c>
      <c r="D14" s="30">
        <f t="shared" si="5"/>
        <v>0.020737054153335703</v>
      </c>
      <c r="E14" s="34">
        <f t="shared" si="2"/>
        <v>0.022218272307145397</v>
      </c>
      <c r="F14" s="34">
        <f t="shared" si="6"/>
        <v>0.023699490460955087</v>
      </c>
      <c r="G14" s="34">
        <f t="shared" si="6"/>
        <v>7.020823101361265E-05</v>
      </c>
      <c r="H14" s="34">
        <f t="shared" si="6"/>
        <v>7.60589169314137E-05</v>
      </c>
      <c r="I14" s="41">
        <f t="shared" si="7"/>
        <v>0.028143144922384167</v>
      </c>
      <c r="J14" s="34">
        <f t="shared" si="8"/>
        <v>0.02962436307619386</v>
      </c>
      <c r="L14" s="27">
        <f t="shared" si="9"/>
        <v>0.4459217126831773</v>
      </c>
      <c r="N14" s="113"/>
    </row>
    <row r="15" spans="1:14" ht="15" hidden="1" outlineLevel="1">
      <c r="A15" s="37">
        <v>7</v>
      </c>
      <c r="B15" s="34">
        <f t="shared" si="3"/>
        <v>0.0207370541533357</v>
      </c>
      <c r="C15" s="34">
        <f t="shared" si="4"/>
        <v>0.02246514199944701</v>
      </c>
      <c r="D15" s="30">
        <f t="shared" si="5"/>
        <v>0.024193229845558318</v>
      </c>
      <c r="E15" s="34">
        <f t="shared" si="2"/>
        <v>0.025921317691669627</v>
      </c>
      <c r="F15" s="34">
        <f t="shared" si="6"/>
        <v>0.027649405537780933</v>
      </c>
      <c r="G15" s="34">
        <f t="shared" si="6"/>
        <v>8.190960284921474E-05</v>
      </c>
      <c r="H15" s="34">
        <f t="shared" si="6"/>
        <v>8.873540308664931E-05</v>
      </c>
      <c r="I15" s="41">
        <f t="shared" si="7"/>
        <v>0.03283366907611486</v>
      </c>
      <c r="J15" s="34">
        <f t="shared" si="8"/>
        <v>0.03456175692222617</v>
      </c>
      <c r="L15" s="27">
        <f t="shared" si="9"/>
        <v>0.44987162776000317</v>
      </c>
      <c r="N15" s="113"/>
    </row>
    <row r="16" spans="1:14" ht="15" hidden="1" outlineLevel="1">
      <c r="A16" s="37">
        <v>8</v>
      </c>
      <c r="B16" s="34">
        <f t="shared" si="3"/>
        <v>0.023699490460955087</v>
      </c>
      <c r="C16" s="34">
        <f t="shared" si="4"/>
        <v>0.02567444799936801</v>
      </c>
      <c r="D16" s="30">
        <f t="shared" si="5"/>
        <v>0.027649405537780936</v>
      </c>
      <c r="E16" s="34">
        <f t="shared" si="2"/>
        <v>0.02962436307619386</v>
      </c>
      <c r="F16" s="34">
        <f t="shared" si="6"/>
        <v>0.03159932061460678</v>
      </c>
      <c r="G16" s="34">
        <f t="shared" si="6"/>
        <v>9.361097468481686E-05</v>
      </c>
      <c r="H16" s="34">
        <f t="shared" si="6"/>
        <v>0.00010141188924188493</v>
      </c>
      <c r="I16" s="41">
        <f t="shared" si="7"/>
        <v>0.03752419322984556</v>
      </c>
      <c r="J16" s="34">
        <f t="shared" si="8"/>
        <v>0.03949915076825848</v>
      </c>
      <c r="L16" s="27">
        <f t="shared" si="9"/>
        <v>0.453821542836829</v>
      </c>
      <c r="N16" s="113"/>
    </row>
    <row r="17" spans="1:14" ht="15" hidden="1" outlineLevel="1">
      <c r="A17" s="37">
        <v>9</v>
      </c>
      <c r="B17" s="34">
        <f t="shared" si="3"/>
        <v>0.026661926768574474</v>
      </c>
      <c r="C17" s="34">
        <f t="shared" si="4"/>
        <v>0.028883753999289014</v>
      </c>
      <c r="D17" s="30">
        <f t="shared" si="5"/>
        <v>0.031105581230003555</v>
      </c>
      <c r="E17" s="34">
        <f t="shared" si="2"/>
        <v>0.03332740846071809</v>
      </c>
      <c r="F17" s="34">
        <f t="shared" si="6"/>
        <v>0.03554923569143263</v>
      </c>
      <c r="G17" s="34">
        <f t="shared" si="6"/>
        <v>0.00010531234652041896</v>
      </c>
      <c r="H17" s="34">
        <f t="shared" si="6"/>
        <v>0.00011408837539712056</v>
      </c>
      <c r="I17" s="41">
        <f t="shared" si="7"/>
        <v>0.04221471738357625</v>
      </c>
      <c r="J17" s="34">
        <f t="shared" si="8"/>
        <v>0.04443654461429079</v>
      </c>
      <c r="L17" s="27">
        <f t="shared" si="9"/>
        <v>0.45777145791365487</v>
      </c>
      <c r="N17" s="113"/>
    </row>
    <row r="18" spans="1:14" ht="15" collapsed="1">
      <c r="A18" s="37">
        <v>10</v>
      </c>
      <c r="B18" s="34">
        <f t="shared" si="3"/>
        <v>0.029624363076193858</v>
      </c>
      <c r="C18" s="34">
        <f t="shared" si="4"/>
        <v>0.032093059999210014</v>
      </c>
      <c r="D18" s="30">
        <f t="shared" si="5"/>
        <v>0.03456175692222617</v>
      </c>
      <c r="E18" s="34">
        <f>E9*$A$18</f>
        <v>0.037030453845242325</v>
      </c>
      <c r="F18" s="34">
        <f t="shared" si="6"/>
        <v>0.03949915076825848</v>
      </c>
      <c r="G18" s="34">
        <f t="shared" si="6"/>
        <v>0.00011701371835602107</v>
      </c>
      <c r="H18" s="34">
        <f t="shared" si="6"/>
        <v>0.00012676486155235617</v>
      </c>
      <c r="I18" s="41">
        <f t="shared" si="7"/>
        <v>0.04690524153730695</v>
      </c>
      <c r="J18" s="34">
        <f t="shared" si="8"/>
        <v>0.049373938460323105</v>
      </c>
      <c r="L18" s="27">
        <f t="shared" si="9"/>
        <v>0.4617213729904807</v>
      </c>
      <c r="N18" s="113"/>
    </row>
    <row r="19" spans="1:14" ht="15" hidden="1" outlineLevel="1">
      <c r="A19" s="37">
        <v>11</v>
      </c>
      <c r="B19" s="34">
        <f t="shared" si="3"/>
        <v>0.032586799383813245</v>
      </c>
      <c r="C19" s="34">
        <f t="shared" si="4"/>
        <v>0.035302365999131016</v>
      </c>
      <c r="D19" s="30">
        <f t="shared" si="5"/>
        <v>0.03801793261444879</v>
      </c>
      <c r="E19" s="34">
        <f>+A19*$E$9</f>
        <v>0.04073349922976656</v>
      </c>
      <c r="F19" s="34">
        <f t="shared" si="6"/>
        <v>0.043449065845084324</v>
      </c>
      <c r="G19" s="34">
        <f t="shared" si="6"/>
        <v>0.0001287150901916232</v>
      </c>
      <c r="H19" s="34">
        <f t="shared" si="6"/>
        <v>0.00013944134770759177</v>
      </c>
      <c r="I19" s="41">
        <f t="shared" si="7"/>
        <v>0.05159576569103764</v>
      </c>
      <c r="J19" s="34">
        <f t="shared" si="8"/>
        <v>0.05431133230635541</v>
      </c>
      <c r="L19" s="27">
        <f t="shared" si="9"/>
        <v>0.46567128806730657</v>
      </c>
      <c r="N19" s="113"/>
    </row>
    <row r="20" spans="1:14" ht="15" hidden="1" outlineLevel="1">
      <c r="A20" s="37">
        <v>12</v>
      </c>
      <c r="B20" s="34">
        <f t="shared" si="3"/>
        <v>0.03554923569143263</v>
      </c>
      <c r="C20" s="34">
        <f t="shared" si="4"/>
        <v>0.03851167199905202</v>
      </c>
      <c r="D20" s="30">
        <f t="shared" si="5"/>
        <v>0.041474108306671406</v>
      </c>
      <c r="E20" s="34">
        <f>+A20*$E$9</f>
        <v>0.04443654461429079</v>
      </c>
      <c r="F20" s="34">
        <f t="shared" si="6"/>
        <v>0.047398980921910173</v>
      </c>
      <c r="G20" s="34">
        <f t="shared" si="6"/>
        <v>0.0001404164620272253</v>
      </c>
      <c r="H20" s="34">
        <f t="shared" si="6"/>
        <v>0.0001521178338628274</v>
      </c>
      <c r="I20" s="41">
        <f t="shared" si="7"/>
        <v>0.056286289844768335</v>
      </c>
      <c r="J20" s="34">
        <f t="shared" si="8"/>
        <v>0.05924872615238772</v>
      </c>
      <c r="L20" s="27">
        <f t="shared" si="9"/>
        <v>0.4696212031441324</v>
      </c>
      <c r="N20" s="113"/>
    </row>
    <row r="21" spans="1:14" ht="15" hidden="1" outlineLevel="1">
      <c r="A21" s="37">
        <v>13</v>
      </c>
      <c r="B21" s="34">
        <f t="shared" si="3"/>
        <v>0.03851167199905202</v>
      </c>
      <c r="C21" s="34">
        <f t="shared" si="4"/>
        <v>0.04172097799897302</v>
      </c>
      <c r="D21" s="30">
        <f t="shared" si="5"/>
        <v>0.044930283998894024</v>
      </c>
      <c r="E21" s="34">
        <f>+A21*$E$9</f>
        <v>0.04813958999881503</v>
      </c>
      <c r="F21" s="34">
        <f t="shared" si="6"/>
        <v>0.05134889599873602</v>
      </c>
      <c r="G21" s="34">
        <f t="shared" si="6"/>
        <v>0.0001521178338628274</v>
      </c>
      <c r="H21" s="34">
        <f t="shared" si="6"/>
        <v>0.00016479432001806303</v>
      </c>
      <c r="I21" s="41">
        <f t="shared" si="7"/>
        <v>0.06097681399849903</v>
      </c>
      <c r="J21" s="34">
        <f t="shared" si="8"/>
        <v>0.06418611999842003</v>
      </c>
      <c r="L21" s="27">
        <f t="shared" si="9"/>
        <v>0.47357111822095826</v>
      </c>
      <c r="N21" s="113"/>
    </row>
    <row r="22" spans="1:14" ht="15" hidden="1" outlineLevel="1">
      <c r="A22" s="37">
        <v>14</v>
      </c>
      <c r="B22" s="34">
        <f t="shared" si="3"/>
        <v>0.0414741083066714</v>
      </c>
      <c r="C22" s="34">
        <f t="shared" si="4"/>
        <v>0.04493028399889402</v>
      </c>
      <c r="D22" s="30">
        <f t="shared" si="5"/>
        <v>0.048386459691116636</v>
      </c>
      <c r="E22" s="34">
        <f>+A22*$E$9</f>
        <v>0.051842635383339254</v>
      </c>
      <c r="F22" s="34">
        <f t="shared" si="6"/>
        <v>0.055298811075561866</v>
      </c>
      <c r="G22" s="34">
        <f t="shared" si="6"/>
        <v>0.00016381920569842948</v>
      </c>
      <c r="H22" s="34">
        <f t="shared" si="6"/>
        <v>0.00017747080617329863</v>
      </c>
      <c r="I22" s="41">
        <f t="shared" si="7"/>
        <v>0.06566733815222972</v>
      </c>
      <c r="J22" s="34">
        <f t="shared" si="8"/>
        <v>0.06912351384445234</v>
      </c>
      <c r="L22" s="27">
        <f t="shared" si="9"/>
        <v>0.47752103329778406</v>
      </c>
      <c r="N22" s="113"/>
    </row>
    <row r="23" spans="1:14" ht="15" collapsed="1">
      <c r="A23" s="37">
        <v>15</v>
      </c>
      <c r="B23" s="34">
        <f t="shared" si="3"/>
        <v>0.044436544614290786</v>
      </c>
      <c r="C23" s="34">
        <f t="shared" si="4"/>
        <v>0.04813958999881502</v>
      </c>
      <c r="D23" s="30">
        <f t="shared" si="5"/>
        <v>0.051842635383339254</v>
      </c>
      <c r="E23" s="34">
        <f>E9*$A$23</f>
        <v>0.05554568076786349</v>
      </c>
      <c r="F23" s="34">
        <f t="shared" si="6"/>
        <v>0.059248726152387715</v>
      </c>
      <c r="G23" s="34">
        <f t="shared" si="6"/>
        <v>0.0001755205775340316</v>
      </c>
      <c r="H23" s="34">
        <f t="shared" si="6"/>
        <v>0.00019014729232853426</v>
      </c>
      <c r="I23" s="41">
        <f t="shared" si="7"/>
        <v>0.07035786230596042</v>
      </c>
      <c r="J23" s="34">
        <f t="shared" si="8"/>
        <v>0.07406090769048465</v>
      </c>
      <c r="L23" s="27">
        <f t="shared" si="9"/>
        <v>0.4814709483746099</v>
      </c>
      <c r="N23" s="113"/>
    </row>
    <row r="24" spans="1:14" ht="15" hidden="1" outlineLevel="1">
      <c r="A24" s="37">
        <v>16</v>
      </c>
      <c r="B24" s="34">
        <f t="shared" si="3"/>
        <v>0.047398980921910173</v>
      </c>
      <c r="C24" s="34">
        <f t="shared" si="4"/>
        <v>0.05134889599873602</v>
      </c>
      <c r="D24" s="30">
        <f t="shared" si="5"/>
        <v>0.05529881107556187</v>
      </c>
      <c r="E24" s="34">
        <f>+A24*$E$9</f>
        <v>0.05924872615238772</v>
      </c>
      <c r="F24" s="34">
        <f t="shared" si="6"/>
        <v>0.06319864122921356</v>
      </c>
      <c r="G24" s="34">
        <f t="shared" si="6"/>
        <v>0.00018722194936963372</v>
      </c>
      <c r="H24" s="34">
        <f t="shared" si="6"/>
        <v>0.00020282377848376986</v>
      </c>
      <c r="I24" s="41">
        <f t="shared" si="7"/>
        <v>0.07504838645969111</v>
      </c>
      <c r="J24" s="34">
        <f t="shared" si="8"/>
        <v>0.07899830153651696</v>
      </c>
      <c r="L24" s="27">
        <f t="shared" si="9"/>
        <v>0.48542086345143576</v>
      </c>
      <c r="N24" s="113"/>
    </row>
    <row r="25" spans="1:14" ht="15" hidden="1" outlineLevel="1">
      <c r="A25" s="37">
        <v>17</v>
      </c>
      <c r="B25" s="34">
        <f t="shared" si="3"/>
        <v>0.05036141722952956</v>
      </c>
      <c r="C25" s="34">
        <f t="shared" si="4"/>
        <v>0.054558201998657026</v>
      </c>
      <c r="D25" s="30">
        <f t="shared" si="5"/>
        <v>0.05875498676778449</v>
      </c>
      <c r="E25" s="34">
        <f>+A25*$E$9</f>
        <v>0.06295177153691195</v>
      </c>
      <c r="F25" s="34">
        <f t="shared" si="6"/>
        <v>0.06714855630603941</v>
      </c>
      <c r="G25" s="34">
        <f t="shared" si="6"/>
        <v>0.00019892332120523582</v>
      </c>
      <c r="H25" s="34">
        <f t="shared" si="6"/>
        <v>0.00021550026463900549</v>
      </c>
      <c r="I25" s="41">
        <f t="shared" si="7"/>
        <v>0.07973891061342181</v>
      </c>
      <c r="J25" s="34">
        <f t="shared" si="8"/>
        <v>0.08393569538254927</v>
      </c>
      <c r="L25" s="27">
        <f t="shared" si="9"/>
        <v>0.4893707785282616</v>
      </c>
      <c r="N25" s="113"/>
    </row>
    <row r="26" spans="1:14" ht="15" hidden="1" outlineLevel="1">
      <c r="A26" s="37">
        <v>18</v>
      </c>
      <c r="B26" s="34">
        <f t="shared" si="3"/>
        <v>0.05332385353714895</v>
      </c>
      <c r="C26" s="34">
        <f t="shared" si="4"/>
        <v>0.05776750799857803</v>
      </c>
      <c r="D26" s="30">
        <f t="shared" si="5"/>
        <v>0.06221116246000711</v>
      </c>
      <c r="E26" s="34">
        <f>+A26*$E$9</f>
        <v>0.06665481692143618</v>
      </c>
      <c r="F26" s="34">
        <f t="shared" si="6"/>
        <v>0.07109847138286526</v>
      </c>
      <c r="G26" s="34">
        <f t="shared" si="6"/>
        <v>0.00021062469304083793</v>
      </c>
      <c r="H26" s="34">
        <f t="shared" si="6"/>
        <v>0.00022817675079424111</v>
      </c>
      <c r="I26" s="41">
        <f t="shared" si="7"/>
        <v>0.0844294347671525</v>
      </c>
      <c r="J26" s="34">
        <f t="shared" si="8"/>
        <v>0.08887308922858159</v>
      </c>
      <c r="L26" s="27">
        <f t="shared" si="9"/>
        <v>0.49332069360508746</v>
      </c>
      <c r="N26" s="113"/>
    </row>
    <row r="27" spans="1:14" ht="15" hidden="1" outlineLevel="1">
      <c r="A27" s="37">
        <v>19</v>
      </c>
      <c r="B27" s="34">
        <f t="shared" si="3"/>
        <v>0.05628628984476833</v>
      </c>
      <c r="C27" s="34">
        <f t="shared" si="4"/>
        <v>0.060976813998499024</v>
      </c>
      <c r="D27" s="30">
        <f t="shared" si="5"/>
        <v>0.06566733815222972</v>
      </c>
      <c r="E27" s="34">
        <f>+A27*$E$9</f>
        <v>0.07035786230596042</v>
      </c>
      <c r="F27" s="34">
        <f t="shared" si="6"/>
        <v>0.07504838645969111</v>
      </c>
      <c r="G27" s="34">
        <f t="shared" si="6"/>
        <v>0.00022232606487644003</v>
      </c>
      <c r="H27" s="34">
        <f t="shared" si="6"/>
        <v>0.00024085323694947672</v>
      </c>
      <c r="I27" s="41">
        <f t="shared" si="7"/>
        <v>0.0891199589208832</v>
      </c>
      <c r="J27" s="34">
        <f t="shared" si="8"/>
        <v>0.0938104830746139</v>
      </c>
      <c r="L27" s="27">
        <f t="shared" si="9"/>
        <v>0.4972706086819133</v>
      </c>
      <c r="N27" s="113"/>
    </row>
    <row r="28" spans="1:14" ht="15" collapsed="1">
      <c r="A28" s="37">
        <v>20</v>
      </c>
      <c r="B28" s="34">
        <f aca="true" t="shared" si="10" ref="B28:J28">B9*$A$28</f>
        <v>0.059248726152387715</v>
      </c>
      <c r="C28" s="34">
        <f t="shared" si="10"/>
        <v>0.06418611999842003</v>
      </c>
      <c r="D28" s="30">
        <f t="shared" si="10"/>
        <v>0.06912351384445234</v>
      </c>
      <c r="E28" s="34">
        <f t="shared" si="10"/>
        <v>0.07406090769048465</v>
      </c>
      <c r="F28" s="34">
        <f t="shared" si="10"/>
        <v>0.07899830153651696</v>
      </c>
      <c r="G28" s="34">
        <f>G9*$A$28</f>
        <v>0.08393569538254929</v>
      </c>
      <c r="H28" s="34">
        <f>H9*$A$28</f>
        <v>0.0888730892285816</v>
      </c>
      <c r="I28" s="41">
        <f t="shared" si="10"/>
        <v>0.0938104830746139</v>
      </c>
      <c r="J28" s="34">
        <f t="shared" si="10"/>
        <v>0.09874787692064621</v>
      </c>
      <c r="L28" s="27">
        <f aca="true" t="shared" si="11" ref="L28:L33">($L$4/$A$50/24/60)*A28+$L$3</f>
        <v>0.5012205237587392</v>
      </c>
      <c r="N28" s="113"/>
    </row>
    <row r="29" spans="1:14" ht="15">
      <c r="A29" s="37">
        <v>21.1</v>
      </c>
      <c r="B29" s="34">
        <f aca="true" t="shared" si="12" ref="B29:J29">+B50/2</f>
        <v>0.06249999999999999</v>
      </c>
      <c r="C29" s="34">
        <f t="shared" si="12"/>
        <v>0.06770833333333333</v>
      </c>
      <c r="D29" s="30">
        <f t="shared" si="12"/>
        <v>0.07291666666666666</v>
      </c>
      <c r="E29" s="34">
        <f t="shared" si="12"/>
        <v>0.078125</v>
      </c>
      <c r="F29" s="34">
        <f t="shared" si="12"/>
        <v>0.08333333333333333</v>
      </c>
      <c r="G29" s="34">
        <f>+G50/2</f>
        <v>0.08854166666666667</v>
      </c>
      <c r="H29" s="34">
        <f>+H50/2</f>
        <v>0.09375000000000001</v>
      </c>
      <c r="I29" s="41">
        <f t="shared" si="12"/>
        <v>0.09895833333333333</v>
      </c>
      <c r="J29" s="34">
        <f t="shared" si="12"/>
        <v>0.10416666666666667</v>
      </c>
      <c r="L29" s="27">
        <f t="shared" si="11"/>
        <v>0.5055654303432476</v>
      </c>
      <c r="N29" s="112"/>
    </row>
    <row r="30" spans="1:14" ht="15" hidden="1" outlineLevel="1">
      <c r="A30" s="37">
        <v>22</v>
      </c>
      <c r="B30" s="34">
        <f aca="true" t="shared" si="13" ref="B30:B49">+A30*$B$9</f>
        <v>0.06517359876762649</v>
      </c>
      <c r="C30" s="34">
        <f aca="true" t="shared" si="14" ref="C30:C49">+A30*$C$9</f>
        <v>0.07060473199826203</v>
      </c>
      <c r="D30" s="30">
        <f aca="true" t="shared" si="15" ref="D30:D49">+A30*$D$9</f>
        <v>0.07603586522889758</v>
      </c>
      <c r="E30" s="34">
        <f aca="true" t="shared" si="16" ref="E30:E49">+A30*$E$9</f>
        <v>0.08146699845953312</v>
      </c>
      <c r="F30" s="34">
        <f aca="true" t="shared" si="17" ref="F30:H49">+A30*$F$9</f>
        <v>0.08689813169016865</v>
      </c>
      <c r="G30" s="34">
        <f t="shared" si="17"/>
        <v>0.0002574301803832464</v>
      </c>
      <c r="H30" s="34">
        <f t="shared" si="17"/>
        <v>0.00027888269541518354</v>
      </c>
      <c r="I30" s="41">
        <f aca="true" t="shared" si="18" ref="I30:I49">+A30*$I$9</f>
        <v>0.10319153138207528</v>
      </c>
      <c r="J30" s="34">
        <f aca="true" t="shared" si="19" ref="J30:J49">+A30*$J$9</f>
        <v>0.10862266461271082</v>
      </c>
      <c r="L30" s="27">
        <f t="shared" si="11"/>
        <v>0.5091203539123909</v>
      </c>
      <c r="N30" s="112"/>
    </row>
    <row r="31" spans="1:14" ht="15" hidden="1" outlineLevel="1">
      <c r="A31" s="37">
        <v>23</v>
      </c>
      <c r="B31" s="34">
        <f t="shared" si="13"/>
        <v>0.06813603507524588</v>
      </c>
      <c r="C31" s="34">
        <f t="shared" si="14"/>
        <v>0.07381403799818304</v>
      </c>
      <c r="D31" s="30">
        <f t="shared" si="15"/>
        <v>0.0794920409211202</v>
      </c>
      <c r="E31" s="34">
        <f t="shared" si="16"/>
        <v>0.08517004384405735</v>
      </c>
      <c r="F31" s="34">
        <f t="shared" si="17"/>
        <v>0.0908480467669945</v>
      </c>
      <c r="G31" s="34">
        <f t="shared" si="17"/>
        <v>0.0002691315522188485</v>
      </c>
      <c r="H31" s="34">
        <f t="shared" si="17"/>
        <v>0.0002915591815704192</v>
      </c>
      <c r="I31" s="41">
        <f t="shared" si="18"/>
        <v>0.10788205553580597</v>
      </c>
      <c r="J31" s="34">
        <f t="shared" si="19"/>
        <v>0.11356005845874313</v>
      </c>
      <c r="L31" s="27">
        <f t="shared" si="11"/>
        <v>0.5130702689892167</v>
      </c>
      <c r="N31" s="112"/>
    </row>
    <row r="32" spans="1:14" ht="15" hidden="1" outlineLevel="1">
      <c r="A32" s="37">
        <v>24</v>
      </c>
      <c r="B32" s="34">
        <f t="shared" si="13"/>
        <v>0.07109847138286526</v>
      </c>
      <c r="C32" s="34">
        <f t="shared" si="14"/>
        <v>0.07702334399810404</v>
      </c>
      <c r="D32" s="30">
        <f t="shared" si="15"/>
        <v>0.08294821661334281</v>
      </c>
      <c r="E32" s="34">
        <f t="shared" si="16"/>
        <v>0.08887308922858159</v>
      </c>
      <c r="F32" s="34">
        <f t="shared" si="17"/>
        <v>0.09479796184382035</v>
      </c>
      <c r="G32" s="34">
        <f t="shared" si="17"/>
        <v>0.0002808329240544506</v>
      </c>
      <c r="H32" s="34">
        <f t="shared" si="17"/>
        <v>0.0003042356677256548</v>
      </c>
      <c r="I32" s="41">
        <f t="shared" si="18"/>
        <v>0.11257257968953667</v>
      </c>
      <c r="J32" s="34">
        <f t="shared" si="19"/>
        <v>0.11849745230477544</v>
      </c>
      <c r="L32" s="27">
        <f t="shared" si="11"/>
        <v>0.5170201840660426</v>
      </c>
      <c r="N32" s="112"/>
    </row>
    <row r="33" spans="1:12" ht="15" collapsed="1">
      <c r="A33" s="37">
        <v>25</v>
      </c>
      <c r="B33" s="34">
        <f t="shared" si="13"/>
        <v>0.07406090769048465</v>
      </c>
      <c r="C33" s="34">
        <f t="shared" si="14"/>
        <v>0.08023264999802504</v>
      </c>
      <c r="D33" s="30">
        <f t="shared" si="15"/>
        <v>0.08640439230556543</v>
      </c>
      <c r="E33" s="34">
        <f t="shared" si="16"/>
        <v>0.09257613461310582</v>
      </c>
      <c r="F33" s="34">
        <f t="shared" si="17"/>
        <v>0.0987478769206462</v>
      </c>
      <c r="G33" s="34">
        <f t="shared" si="17"/>
        <v>0.0002925342958900527</v>
      </c>
      <c r="H33" s="34">
        <f t="shared" si="17"/>
        <v>0.00031691215388089043</v>
      </c>
      <c r="I33" s="41">
        <f t="shared" si="18"/>
        <v>0.11726310384326737</v>
      </c>
      <c r="J33" s="34">
        <f t="shared" si="19"/>
        <v>0.12343484615080776</v>
      </c>
      <c r="L33" s="27">
        <f t="shared" si="11"/>
        <v>0.5209700991428684</v>
      </c>
    </row>
    <row r="34" spans="1:12" ht="15" hidden="1" outlineLevel="1">
      <c r="A34" s="37">
        <v>26</v>
      </c>
      <c r="B34" s="34">
        <f t="shared" si="13"/>
        <v>0.07702334399810404</v>
      </c>
      <c r="C34" s="34">
        <f t="shared" si="14"/>
        <v>0.08344195599794604</v>
      </c>
      <c r="D34" s="30">
        <f t="shared" si="15"/>
        <v>0.08986056799778805</v>
      </c>
      <c r="E34" s="34">
        <f t="shared" si="16"/>
        <v>0.09627917999763005</v>
      </c>
      <c r="F34" s="34">
        <f t="shared" si="17"/>
        <v>0.10269779199747205</v>
      </c>
      <c r="G34" s="34">
        <f t="shared" si="17"/>
        <v>0.0003042356677256548</v>
      </c>
      <c r="H34" s="34">
        <f t="shared" si="17"/>
        <v>0.00032958864003612606</v>
      </c>
      <c r="I34" s="41">
        <f t="shared" si="18"/>
        <v>0.12195362799699806</v>
      </c>
      <c r="J34" s="34">
        <f t="shared" si="19"/>
        <v>0.12837223999684005</v>
      </c>
      <c r="L34" s="27">
        <f aca="true" t="shared" si="20" ref="L34:L49">($L$4/$A$50/24/60)*A34+$L$3</f>
        <v>0.5249200142196943</v>
      </c>
    </row>
    <row r="35" spans="1:12" ht="15" hidden="1" outlineLevel="1">
      <c r="A35" s="37">
        <v>27</v>
      </c>
      <c r="B35" s="34">
        <f t="shared" si="13"/>
        <v>0.07998578030572341</v>
      </c>
      <c r="C35" s="34">
        <f t="shared" si="14"/>
        <v>0.08665126199786703</v>
      </c>
      <c r="D35" s="30">
        <f t="shared" si="15"/>
        <v>0.09331674369001065</v>
      </c>
      <c r="E35" s="34">
        <f t="shared" si="16"/>
        <v>0.09998222538215427</v>
      </c>
      <c r="F35" s="34">
        <f t="shared" si="17"/>
        <v>0.1066477070742979</v>
      </c>
      <c r="G35" s="34">
        <f t="shared" si="17"/>
        <v>0.00031593703956125685</v>
      </c>
      <c r="H35" s="34">
        <f t="shared" si="17"/>
        <v>0.00034226512619136163</v>
      </c>
      <c r="I35" s="41">
        <f t="shared" si="18"/>
        <v>0.12664415215072874</v>
      </c>
      <c r="J35" s="34">
        <f t="shared" si="19"/>
        <v>0.13330963384287237</v>
      </c>
      <c r="L35" s="27">
        <f t="shared" si="20"/>
        <v>0.5288699292965201</v>
      </c>
    </row>
    <row r="36" spans="1:12" ht="15" hidden="1" outlineLevel="1">
      <c r="A36" s="37">
        <v>28</v>
      </c>
      <c r="B36" s="34">
        <f t="shared" si="13"/>
        <v>0.0829482166133428</v>
      </c>
      <c r="C36" s="34">
        <f t="shared" si="14"/>
        <v>0.08986056799778804</v>
      </c>
      <c r="D36" s="30">
        <f t="shared" si="15"/>
        <v>0.09677291938223327</v>
      </c>
      <c r="E36" s="34">
        <f t="shared" si="16"/>
        <v>0.10368527076667851</v>
      </c>
      <c r="F36" s="34">
        <f t="shared" si="17"/>
        <v>0.11059762215112373</v>
      </c>
      <c r="G36" s="34">
        <f t="shared" si="17"/>
        <v>0.00032763841139685896</v>
      </c>
      <c r="H36" s="34">
        <f t="shared" si="17"/>
        <v>0.00035494161234659726</v>
      </c>
      <c r="I36" s="41">
        <f t="shared" si="18"/>
        <v>0.13133467630445944</v>
      </c>
      <c r="J36" s="34">
        <f t="shared" si="19"/>
        <v>0.13824702768890468</v>
      </c>
      <c r="L36" s="27">
        <f t="shared" si="20"/>
        <v>0.532819844373346</v>
      </c>
    </row>
    <row r="37" spans="1:12" ht="15" hidden="1" outlineLevel="1">
      <c r="A37" s="37">
        <v>29</v>
      </c>
      <c r="B37" s="34">
        <f t="shared" si="13"/>
        <v>0.08591065292096219</v>
      </c>
      <c r="C37" s="34">
        <f t="shared" si="14"/>
        <v>0.09306987399770904</v>
      </c>
      <c r="D37" s="30">
        <f t="shared" si="15"/>
        <v>0.10022909507445589</v>
      </c>
      <c r="E37" s="34">
        <f t="shared" si="16"/>
        <v>0.10738831615120274</v>
      </c>
      <c r="F37" s="34">
        <f t="shared" si="17"/>
        <v>0.11454753722794958</v>
      </c>
      <c r="G37" s="34">
        <f t="shared" si="17"/>
        <v>0.0003393397832324611</v>
      </c>
      <c r="H37" s="34">
        <f t="shared" si="17"/>
        <v>0.0003676180985018329</v>
      </c>
      <c r="I37" s="41">
        <f t="shared" si="18"/>
        <v>0.13602520045819014</v>
      </c>
      <c r="J37" s="34">
        <f t="shared" si="19"/>
        <v>0.143184421534937</v>
      </c>
      <c r="L37" s="27">
        <f t="shared" si="20"/>
        <v>0.5367697594501718</v>
      </c>
    </row>
    <row r="38" spans="1:12" ht="15" collapsed="1">
      <c r="A38" s="37">
        <v>30</v>
      </c>
      <c r="B38" s="34">
        <f t="shared" si="13"/>
        <v>0.08887308922858157</v>
      </c>
      <c r="C38" s="34">
        <f t="shared" si="14"/>
        <v>0.09627917999763004</v>
      </c>
      <c r="D38" s="30">
        <f t="shared" si="15"/>
        <v>0.10368527076667851</v>
      </c>
      <c r="E38" s="34">
        <f t="shared" si="16"/>
        <v>0.11109136153572698</v>
      </c>
      <c r="F38" s="34">
        <f t="shared" si="17"/>
        <v>0.11849745230477543</v>
      </c>
      <c r="G38" s="34">
        <f t="shared" si="17"/>
        <v>0.0003510411550680632</v>
      </c>
      <c r="H38" s="34">
        <f t="shared" si="17"/>
        <v>0.0003802945846570685</v>
      </c>
      <c r="I38" s="41">
        <f t="shared" si="18"/>
        <v>0.14071572461192083</v>
      </c>
      <c r="J38" s="34">
        <f t="shared" si="19"/>
        <v>0.1481218153809693</v>
      </c>
      <c r="L38" s="27">
        <f t="shared" si="20"/>
        <v>0.5407196745269977</v>
      </c>
    </row>
    <row r="39" spans="1:12" ht="15" hidden="1" outlineLevel="1">
      <c r="A39" s="37">
        <v>31</v>
      </c>
      <c r="B39" s="34">
        <f t="shared" si="13"/>
        <v>0.09183552553620096</v>
      </c>
      <c r="C39" s="34">
        <f t="shared" si="14"/>
        <v>0.09948848599755104</v>
      </c>
      <c r="D39" s="30">
        <f t="shared" si="15"/>
        <v>0.10714144645890113</v>
      </c>
      <c r="E39" s="34">
        <f t="shared" si="16"/>
        <v>0.11479440692025121</v>
      </c>
      <c r="F39" s="34">
        <f t="shared" si="17"/>
        <v>0.12244736738160128</v>
      </c>
      <c r="G39" s="34">
        <f t="shared" si="17"/>
        <v>0.00036274252690366533</v>
      </c>
      <c r="H39" s="34">
        <f t="shared" si="17"/>
        <v>0.0003929710708123041</v>
      </c>
      <c r="I39" s="41">
        <f t="shared" si="18"/>
        <v>0.14540624876565153</v>
      </c>
      <c r="J39" s="34">
        <f t="shared" si="19"/>
        <v>0.1530592092270016</v>
      </c>
      <c r="L39" s="27">
        <f t="shared" si="20"/>
        <v>0.5446695896038235</v>
      </c>
    </row>
    <row r="40" spans="1:12" ht="15" hidden="1" outlineLevel="1">
      <c r="A40" s="37">
        <v>32</v>
      </c>
      <c r="B40" s="34">
        <f t="shared" si="13"/>
        <v>0.09479796184382035</v>
      </c>
      <c r="C40" s="34">
        <f t="shared" si="14"/>
        <v>0.10269779199747205</v>
      </c>
      <c r="D40" s="30">
        <f t="shared" si="15"/>
        <v>0.11059762215112375</v>
      </c>
      <c r="E40" s="34">
        <f t="shared" si="16"/>
        <v>0.11849745230477544</v>
      </c>
      <c r="F40" s="34">
        <f t="shared" si="17"/>
        <v>0.12639728245842713</v>
      </c>
      <c r="G40" s="34">
        <f t="shared" si="17"/>
        <v>0.00037444389873926743</v>
      </c>
      <c r="H40" s="34">
        <f t="shared" si="17"/>
        <v>0.0004056475569675397</v>
      </c>
      <c r="I40" s="41">
        <f t="shared" si="18"/>
        <v>0.15009677291938223</v>
      </c>
      <c r="J40" s="34">
        <f t="shared" si="19"/>
        <v>0.15799660307303393</v>
      </c>
      <c r="L40" s="27">
        <f t="shared" si="20"/>
        <v>0.5486195046806494</v>
      </c>
    </row>
    <row r="41" spans="1:12" ht="15" hidden="1" outlineLevel="1">
      <c r="A41" s="37">
        <v>33</v>
      </c>
      <c r="B41" s="34">
        <f t="shared" si="13"/>
        <v>0.09776039815143973</v>
      </c>
      <c r="C41" s="34">
        <f t="shared" si="14"/>
        <v>0.10590709799739305</v>
      </c>
      <c r="D41" s="30">
        <f t="shared" si="15"/>
        <v>0.11405379784334636</v>
      </c>
      <c r="E41" s="34">
        <f t="shared" si="16"/>
        <v>0.12220049768929968</v>
      </c>
      <c r="F41" s="34">
        <f t="shared" si="17"/>
        <v>0.13034719753525298</v>
      </c>
      <c r="G41" s="34">
        <f t="shared" si="17"/>
        <v>0.00038614527057486954</v>
      </c>
      <c r="H41" s="34">
        <f t="shared" si="17"/>
        <v>0.00041832404312277534</v>
      </c>
      <c r="I41" s="41">
        <f t="shared" si="18"/>
        <v>0.15478729707311292</v>
      </c>
      <c r="J41" s="34">
        <f t="shared" si="19"/>
        <v>0.16293399691906624</v>
      </c>
      <c r="L41" s="27">
        <f t="shared" si="20"/>
        <v>0.5525694197574752</v>
      </c>
    </row>
    <row r="42" spans="1:12" ht="15" hidden="1" outlineLevel="1">
      <c r="A42" s="37">
        <v>34</v>
      </c>
      <c r="B42" s="34">
        <f t="shared" si="13"/>
        <v>0.10072283445905912</v>
      </c>
      <c r="C42" s="34">
        <f t="shared" si="14"/>
        <v>0.10911640399731405</v>
      </c>
      <c r="D42" s="30">
        <f t="shared" si="15"/>
        <v>0.11750997353556898</v>
      </c>
      <c r="E42" s="34">
        <f t="shared" si="16"/>
        <v>0.1259035430738239</v>
      </c>
      <c r="F42" s="34">
        <f t="shared" si="17"/>
        <v>0.13429711261207883</v>
      </c>
      <c r="G42" s="34">
        <f t="shared" si="17"/>
        <v>0.00039784664241047165</v>
      </c>
      <c r="H42" s="34">
        <f t="shared" si="17"/>
        <v>0.00043100052927801097</v>
      </c>
      <c r="I42" s="41">
        <f t="shared" si="18"/>
        <v>0.15947782122684362</v>
      </c>
      <c r="J42" s="34">
        <f t="shared" si="19"/>
        <v>0.16787139076509855</v>
      </c>
      <c r="L42" s="27">
        <f t="shared" si="20"/>
        <v>0.556519334834301</v>
      </c>
    </row>
    <row r="43" spans="1:12" ht="15" collapsed="1">
      <c r="A43" s="37">
        <v>35</v>
      </c>
      <c r="B43" s="34">
        <f t="shared" si="13"/>
        <v>0.10368527076667851</v>
      </c>
      <c r="C43" s="34">
        <f t="shared" si="14"/>
        <v>0.11232570999723505</v>
      </c>
      <c r="D43" s="30">
        <f t="shared" si="15"/>
        <v>0.1209661492277916</v>
      </c>
      <c r="E43" s="34">
        <f t="shared" si="16"/>
        <v>0.12960658845834813</v>
      </c>
      <c r="F43" s="34">
        <f t="shared" si="17"/>
        <v>0.13824702768890468</v>
      </c>
      <c r="G43" s="34">
        <f t="shared" si="17"/>
        <v>0.00040954801424607375</v>
      </c>
      <c r="H43" s="34">
        <f t="shared" si="17"/>
        <v>0.0004436770154332466</v>
      </c>
      <c r="I43" s="41">
        <f t="shared" si="18"/>
        <v>0.16416834538057432</v>
      </c>
      <c r="J43" s="34">
        <f t="shared" si="19"/>
        <v>0.17280878461113086</v>
      </c>
      <c r="L43" s="27">
        <f t="shared" si="20"/>
        <v>0.5604692499111269</v>
      </c>
    </row>
    <row r="44" spans="1:12" ht="15" hidden="1" outlineLevel="1">
      <c r="A44" s="37">
        <v>36</v>
      </c>
      <c r="B44" s="34">
        <f t="shared" si="13"/>
        <v>0.1066477070742979</v>
      </c>
      <c r="C44" s="34">
        <f t="shared" si="14"/>
        <v>0.11553501599715606</v>
      </c>
      <c r="D44" s="30">
        <f t="shared" si="15"/>
        <v>0.12442232492001422</v>
      </c>
      <c r="E44" s="34">
        <f t="shared" si="16"/>
        <v>0.13330963384287237</v>
      </c>
      <c r="F44" s="34">
        <f t="shared" si="17"/>
        <v>0.14219694276573053</v>
      </c>
      <c r="G44" s="34">
        <f t="shared" si="17"/>
        <v>0.00042124938608167586</v>
      </c>
      <c r="H44" s="34">
        <f t="shared" si="17"/>
        <v>0.00045635350158848223</v>
      </c>
      <c r="I44" s="41">
        <f t="shared" si="18"/>
        <v>0.168858869534305</v>
      </c>
      <c r="J44" s="34">
        <f t="shared" si="19"/>
        <v>0.17774617845716317</v>
      </c>
      <c r="L44" s="27">
        <f t="shared" si="20"/>
        <v>0.5644191649879527</v>
      </c>
    </row>
    <row r="45" spans="1:12" ht="15" hidden="1" outlineLevel="1">
      <c r="A45" s="37">
        <v>37</v>
      </c>
      <c r="B45" s="34">
        <f t="shared" si="13"/>
        <v>0.10961014338191728</v>
      </c>
      <c r="C45" s="34">
        <f t="shared" si="14"/>
        <v>0.11874432199707706</v>
      </c>
      <c r="D45" s="30">
        <f t="shared" si="15"/>
        <v>0.12787850061223682</v>
      </c>
      <c r="E45" s="34">
        <f t="shared" si="16"/>
        <v>0.1370126792273966</v>
      </c>
      <c r="F45" s="34">
        <f t="shared" si="17"/>
        <v>0.14614685784255638</v>
      </c>
      <c r="G45" s="34">
        <f t="shared" si="17"/>
        <v>0.000432950757917278</v>
      </c>
      <c r="H45" s="34">
        <f t="shared" si="17"/>
        <v>0.00046902998774371786</v>
      </c>
      <c r="I45" s="41">
        <f t="shared" si="18"/>
        <v>0.1735493936880357</v>
      </c>
      <c r="J45" s="34">
        <f t="shared" si="19"/>
        <v>0.18268357230319549</v>
      </c>
      <c r="L45" s="27">
        <f t="shared" si="20"/>
        <v>0.5683690800647786</v>
      </c>
    </row>
    <row r="46" spans="1:12" ht="15" hidden="1" outlineLevel="1">
      <c r="A46" s="37">
        <v>38</v>
      </c>
      <c r="B46" s="34">
        <f t="shared" si="13"/>
        <v>0.11257257968953666</v>
      </c>
      <c r="C46" s="34">
        <f t="shared" si="14"/>
        <v>0.12195362799699805</v>
      </c>
      <c r="D46" s="30">
        <f t="shared" si="15"/>
        <v>0.13133467630445944</v>
      </c>
      <c r="E46" s="34">
        <f t="shared" si="16"/>
        <v>0.14071572461192083</v>
      </c>
      <c r="F46" s="34">
        <f t="shared" si="17"/>
        <v>0.15009677291938223</v>
      </c>
      <c r="G46" s="34">
        <f t="shared" si="17"/>
        <v>0.00044465212975288007</v>
      </c>
      <c r="H46" s="34">
        <f t="shared" si="17"/>
        <v>0.00048170647389895343</v>
      </c>
      <c r="I46" s="41">
        <f t="shared" si="18"/>
        <v>0.1782399178417664</v>
      </c>
      <c r="J46" s="34">
        <f t="shared" si="19"/>
        <v>0.1876209661492278</v>
      </c>
      <c r="L46" s="27">
        <f t="shared" si="20"/>
        <v>0.5723189951416044</v>
      </c>
    </row>
    <row r="47" spans="1:12" ht="15" hidden="1" outlineLevel="1">
      <c r="A47" s="37">
        <v>39</v>
      </c>
      <c r="B47" s="34">
        <f t="shared" si="13"/>
        <v>0.11553501599715604</v>
      </c>
      <c r="C47" s="34">
        <f t="shared" si="14"/>
        <v>0.12516293399691905</v>
      </c>
      <c r="D47" s="30">
        <f t="shared" si="15"/>
        <v>0.13479085199668206</v>
      </c>
      <c r="E47" s="34">
        <f t="shared" si="16"/>
        <v>0.14441876999644507</v>
      </c>
      <c r="F47" s="34">
        <f t="shared" si="17"/>
        <v>0.15404668799620808</v>
      </c>
      <c r="G47" s="34">
        <f t="shared" si="17"/>
        <v>0.0004563535015884822</v>
      </c>
      <c r="H47" s="34">
        <f t="shared" si="17"/>
        <v>0.0004943829600541891</v>
      </c>
      <c r="I47" s="41">
        <f t="shared" si="18"/>
        <v>0.1829304419954971</v>
      </c>
      <c r="J47" s="34">
        <f t="shared" si="19"/>
        <v>0.1925583599952601</v>
      </c>
      <c r="L47" s="27">
        <f t="shared" si="20"/>
        <v>0.5762689102184303</v>
      </c>
    </row>
    <row r="48" spans="1:12" ht="15" collapsed="1">
      <c r="A48" s="37">
        <v>40</v>
      </c>
      <c r="B48" s="34">
        <f t="shared" si="13"/>
        <v>0.11849745230477543</v>
      </c>
      <c r="C48" s="34">
        <f t="shared" si="14"/>
        <v>0.12837223999684005</v>
      </c>
      <c r="D48" s="30">
        <f t="shared" si="15"/>
        <v>0.13824702768890468</v>
      </c>
      <c r="E48" s="34">
        <f t="shared" si="16"/>
        <v>0.1481218153809693</v>
      </c>
      <c r="F48" s="34">
        <f t="shared" si="17"/>
        <v>0.15799660307303393</v>
      </c>
      <c r="G48" s="34">
        <f t="shared" si="17"/>
        <v>0.0004680548734240843</v>
      </c>
      <c r="H48" s="34">
        <f t="shared" si="17"/>
        <v>0.0005070594462094247</v>
      </c>
      <c r="I48" s="41">
        <f t="shared" si="18"/>
        <v>0.1876209661492278</v>
      </c>
      <c r="J48" s="34">
        <f t="shared" si="19"/>
        <v>0.19749575384129242</v>
      </c>
      <c r="L48" s="27">
        <f t="shared" si="20"/>
        <v>0.5802188252952561</v>
      </c>
    </row>
    <row r="49" spans="1:12" ht="15" hidden="1" outlineLevel="1">
      <c r="A49" s="37">
        <v>41</v>
      </c>
      <c r="B49" s="34">
        <f t="shared" si="13"/>
        <v>0.12145988861239482</v>
      </c>
      <c r="C49" s="34">
        <f t="shared" si="14"/>
        <v>0.13158154599676106</v>
      </c>
      <c r="D49" s="30">
        <f t="shared" si="15"/>
        <v>0.1417032033811273</v>
      </c>
      <c r="E49" s="34">
        <f t="shared" si="16"/>
        <v>0.15182486076549354</v>
      </c>
      <c r="F49" s="34">
        <f t="shared" si="17"/>
        <v>0.16194651814985975</v>
      </c>
      <c r="G49" s="34">
        <f t="shared" si="17"/>
        <v>0.0004797562452596864</v>
      </c>
      <c r="H49" s="34">
        <f t="shared" si="17"/>
        <v>0.0005197359323646603</v>
      </c>
      <c r="I49" s="41">
        <f t="shared" si="18"/>
        <v>0.19231149030295847</v>
      </c>
      <c r="J49" s="34">
        <f t="shared" si="19"/>
        <v>0.2024331476873247</v>
      </c>
      <c r="L49" s="27">
        <f t="shared" si="20"/>
        <v>0.584168740372082</v>
      </c>
    </row>
    <row r="50" spans="1:12" ht="15" collapsed="1">
      <c r="A50" s="38">
        <f>+F2</f>
        <v>42.195</v>
      </c>
      <c r="B50" s="35">
        <f aca="true" t="shared" si="21" ref="B50:J50">B9*$A$50</f>
        <v>0.12499999999999999</v>
      </c>
      <c r="C50" s="35">
        <f t="shared" si="21"/>
        <v>0.13541666666666666</v>
      </c>
      <c r="D50" s="31">
        <f t="shared" si="21"/>
        <v>0.14583333333333331</v>
      </c>
      <c r="E50" s="35">
        <f t="shared" si="21"/>
        <v>0.15625</v>
      </c>
      <c r="F50" s="35">
        <f t="shared" si="21"/>
        <v>0.16666666666666666</v>
      </c>
      <c r="G50" s="35">
        <f>G9*$A$50</f>
        <v>0.17708333333333334</v>
      </c>
      <c r="H50" s="35">
        <f>H9*$A$50</f>
        <v>0.18750000000000003</v>
      </c>
      <c r="I50" s="42">
        <f t="shared" si="21"/>
        <v>0.19791666666666666</v>
      </c>
      <c r="J50" s="35">
        <f t="shared" si="21"/>
        <v>0.20833333333333334</v>
      </c>
      <c r="L50" s="28">
        <f>($L$4/$A$50/24/60)*A50+$L$3</f>
        <v>0.5888888888888889</v>
      </c>
    </row>
    <row r="51" spans="1:12" ht="8.25" customHeight="1">
      <c r="A51" s="46"/>
      <c r="B51" s="32"/>
      <c r="C51" s="32"/>
      <c r="D51" s="32"/>
      <c r="E51" s="32"/>
      <c r="F51" s="32"/>
      <c r="G51" s="32"/>
      <c r="H51" s="32"/>
      <c r="I51" s="32"/>
      <c r="J51" s="32"/>
      <c r="K51" s="46"/>
      <c r="L51" s="47"/>
    </row>
    <row r="52" spans="1:12" ht="15">
      <c r="A52" s="39" t="s">
        <v>46</v>
      </c>
      <c r="B52" s="36"/>
      <c r="C52" s="36"/>
      <c r="D52" s="33"/>
      <c r="E52" s="36"/>
      <c r="F52" s="36"/>
      <c r="G52" s="36"/>
      <c r="H52" s="36"/>
      <c r="I52" s="43"/>
      <c r="J52" s="36"/>
      <c r="L52" s="26"/>
    </row>
    <row r="53" spans="1:12" ht="15">
      <c r="A53" s="37">
        <v>1</v>
      </c>
      <c r="B53" s="34">
        <f aca="true" t="shared" si="22" ref="B53:J53">B4/$A$79/24/60</f>
        <v>0.004766560018959592</v>
      </c>
      <c r="C53" s="34">
        <f t="shared" si="22"/>
        <v>0.005163773353872892</v>
      </c>
      <c r="D53" s="30">
        <f t="shared" si="22"/>
        <v>0.005560986688786191</v>
      </c>
      <c r="E53" s="34">
        <f t="shared" si="22"/>
        <v>0.00595820002369949</v>
      </c>
      <c r="F53" s="34">
        <f t="shared" si="22"/>
        <v>0.00635541335861279</v>
      </c>
      <c r="G53" s="34">
        <f>G4/$A$79/24/60</f>
        <v>0.00675262669352609</v>
      </c>
      <c r="H53" s="34">
        <f>H4/$A$79/24/60</f>
        <v>0.007149840028439389</v>
      </c>
      <c r="I53" s="41">
        <f t="shared" si="22"/>
        <v>0.007547053363352688</v>
      </c>
      <c r="J53" s="34">
        <f t="shared" si="22"/>
        <v>0.007944266698265987</v>
      </c>
      <c r="L53" s="27">
        <f aca="true" t="shared" si="23" ref="L53:L79">($L$4/$A$79/24/60)*A53+$L$3</f>
        <v>0.428577635580835</v>
      </c>
    </row>
    <row r="54" spans="1:12" ht="15" outlineLevel="1">
      <c r="A54" s="37">
        <v>2</v>
      </c>
      <c r="B54" s="34">
        <f>B53*$A$54</f>
        <v>0.009533120037919184</v>
      </c>
      <c r="C54" s="34">
        <f aca="true" t="shared" si="24" ref="C54:J54">C53*$A$54</f>
        <v>0.010327546707745784</v>
      </c>
      <c r="D54" s="30">
        <f t="shared" si="24"/>
        <v>0.011121973377572382</v>
      </c>
      <c r="E54" s="34">
        <f t="shared" si="24"/>
        <v>0.01191640004739898</v>
      </c>
      <c r="F54" s="34">
        <f t="shared" si="24"/>
        <v>0.01271082671722558</v>
      </c>
      <c r="G54" s="34">
        <f t="shared" si="24"/>
        <v>0.01350525338705218</v>
      </c>
      <c r="H54" s="34">
        <f t="shared" si="24"/>
        <v>0.014299680056878778</v>
      </c>
      <c r="I54" s="34">
        <f t="shared" si="24"/>
        <v>0.015094106726705376</v>
      </c>
      <c r="J54" s="34">
        <f t="shared" si="24"/>
        <v>0.015888533396531974</v>
      </c>
      <c r="L54" s="27">
        <f t="shared" si="23"/>
        <v>0.4349330489394478</v>
      </c>
    </row>
    <row r="55" spans="1:12" ht="15" outlineLevel="1">
      <c r="A55" s="37">
        <v>3</v>
      </c>
      <c r="B55" s="34">
        <f>B53*$A$55</f>
        <v>0.014299680056878776</v>
      </c>
      <c r="C55" s="34">
        <f aca="true" t="shared" si="25" ref="C55:J55">C53*$A$55</f>
        <v>0.015491320061618675</v>
      </c>
      <c r="D55" s="30">
        <f t="shared" si="25"/>
        <v>0.01668296006635857</v>
      </c>
      <c r="E55" s="34">
        <f t="shared" si="25"/>
        <v>0.01787460007109847</v>
      </c>
      <c r="F55" s="34">
        <f t="shared" si="25"/>
        <v>0.019066240075838372</v>
      </c>
      <c r="G55" s="34">
        <f>G53*$A$55</f>
        <v>0.020257880080578272</v>
      </c>
      <c r="H55" s="34">
        <f>H53*$A$55</f>
        <v>0.02144952008531817</v>
      </c>
      <c r="I55" s="34">
        <f t="shared" si="25"/>
        <v>0.022641160090058066</v>
      </c>
      <c r="J55" s="34">
        <f t="shared" si="25"/>
        <v>0.023832800094797962</v>
      </c>
      <c r="L55" s="27">
        <f t="shared" si="23"/>
        <v>0.44128846229806057</v>
      </c>
    </row>
    <row r="56" spans="1:12" ht="15" outlineLevel="1">
      <c r="A56" s="37">
        <v>4</v>
      </c>
      <c r="B56" s="34">
        <f>B53*$A$56</f>
        <v>0.01906624007583837</v>
      </c>
      <c r="C56" s="34">
        <f aca="true" t="shared" si="26" ref="C56:J56">C53*$A$56</f>
        <v>0.020655093415491568</v>
      </c>
      <c r="D56" s="30">
        <f t="shared" si="26"/>
        <v>0.022243946755144763</v>
      </c>
      <c r="E56" s="34">
        <f t="shared" si="26"/>
        <v>0.02383280009479796</v>
      </c>
      <c r="F56" s="34">
        <f t="shared" si="26"/>
        <v>0.02542165343445116</v>
      </c>
      <c r="G56" s="34">
        <f>G53*$A$56</f>
        <v>0.02701050677410436</v>
      </c>
      <c r="H56" s="34">
        <f>H53*$A$56</f>
        <v>0.028599360113757556</v>
      </c>
      <c r="I56" s="34">
        <f t="shared" si="26"/>
        <v>0.030188213453410752</v>
      </c>
      <c r="J56" s="34">
        <f t="shared" si="26"/>
        <v>0.03177706679306395</v>
      </c>
      <c r="L56" s="27">
        <f t="shared" si="23"/>
        <v>0.4476438756566734</v>
      </c>
    </row>
    <row r="57" spans="1:12" ht="15">
      <c r="A57" s="55">
        <v>5</v>
      </c>
      <c r="B57" s="52">
        <f aca="true" t="shared" si="27" ref="B57:J57">B53*$A$57</f>
        <v>0.023832800094797962</v>
      </c>
      <c r="C57" s="53">
        <f t="shared" si="27"/>
        <v>0.02581886676936446</v>
      </c>
      <c r="D57" s="54">
        <f t="shared" si="27"/>
        <v>0.027804933443930955</v>
      </c>
      <c r="E57" s="52">
        <f t="shared" si="27"/>
        <v>0.02979100011849745</v>
      </c>
      <c r="F57" s="53">
        <f t="shared" si="27"/>
        <v>0.031777066793063954</v>
      </c>
      <c r="G57" s="53">
        <f>G53*$A$57</f>
        <v>0.03376313346763045</v>
      </c>
      <c r="H57" s="53">
        <f>H53*$A$57</f>
        <v>0.035749200142196944</v>
      </c>
      <c r="I57" s="52">
        <f t="shared" si="27"/>
        <v>0.03773526681676344</v>
      </c>
      <c r="J57" s="53">
        <f t="shared" si="27"/>
        <v>0.03972133349132993</v>
      </c>
      <c r="K57" s="56"/>
      <c r="L57" s="28">
        <f t="shared" si="23"/>
        <v>0.4539992890152862</v>
      </c>
    </row>
    <row r="58" spans="1:12" ht="15" outlineLevel="1">
      <c r="A58" s="37">
        <v>6</v>
      </c>
      <c r="B58" s="34">
        <f>B53*$A$58</f>
        <v>0.028599360113757553</v>
      </c>
      <c r="C58" s="34">
        <f aca="true" t="shared" si="28" ref="C58:J58">C53*$A$58</f>
        <v>0.03098264012323735</v>
      </c>
      <c r="D58" s="30">
        <f t="shared" si="28"/>
        <v>0.03336592013271714</v>
      </c>
      <c r="E58" s="34">
        <f t="shared" si="28"/>
        <v>0.03574920014219694</v>
      </c>
      <c r="F58" s="34">
        <f t="shared" si="28"/>
        <v>0.038132480151676744</v>
      </c>
      <c r="G58" s="34">
        <f>G53*$A$58</f>
        <v>0.040515760161156544</v>
      </c>
      <c r="H58" s="34">
        <f>H53*$A$58</f>
        <v>0.04289904017063634</v>
      </c>
      <c r="I58" s="34">
        <f t="shared" si="28"/>
        <v>0.04528232018011613</v>
      </c>
      <c r="J58" s="34">
        <f t="shared" si="28"/>
        <v>0.047665600189595925</v>
      </c>
      <c r="K58" s="56"/>
      <c r="L58" s="27">
        <f t="shared" si="23"/>
        <v>0.46035470237389897</v>
      </c>
    </row>
    <row r="59" spans="1:12" ht="15" outlineLevel="1">
      <c r="A59" s="37">
        <v>7</v>
      </c>
      <c r="B59" s="34">
        <f>B53*$A$59</f>
        <v>0.03336592013271714</v>
      </c>
      <c r="C59" s="34">
        <f aca="true" t="shared" si="29" ref="C59:J59">C53*$A$59</f>
        <v>0.03614641347711024</v>
      </c>
      <c r="D59" s="30">
        <f t="shared" si="29"/>
        <v>0.038926906821503335</v>
      </c>
      <c r="E59" s="34">
        <f t="shared" si="29"/>
        <v>0.04170740016589643</v>
      </c>
      <c r="F59" s="34">
        <f t="shared" si="29"/>
        <v>0.04448789351028953</v>
      </c>
      <c r="G59" s="34">
        <f>G53*$A$59</f>
        <v>0.04726838685468263</v>
      </c>
      <c r="H59" s="34">
        <f>H53*$A$59</f>
        <v>0.050048880199075725</v>
      </c>
      <c r="I59" s="34">
        <f t="shared" si="29"/>
        <v>0.05282937354346882</v>
      </c>
      <c r="J59" s="34">
        <f t="shared" si="29"/>
        <v>0.05560986688786191</v>
      </c>
      <c r="K59" s="56"/>
      <c r="L59" s="27">
        <f t="shared" si="23"/>
        <v>0.46671011573251175</v>
      </c>
    </row>
    <row r="60" spans="1:12" ht="15" outlineLevel="1">
      <c r="A60" s="37">
        <v>8</v>
      </c>
      <c r="B60" s="34">
        <f>B53*$A$60</f>
        <v>0.03813248015167674</v>
      </c>
      <c r="C60" s="34">
        <f aca="true" t="shared" si="30" ref="C60:J60">C53*$A$60</f>
        <v>0.041310186830983135</v>
      </c>
      <c r="D60" s="30">
        <f t="shared" si="30"/>
        <v>0.044487893510289526</v>
      </c>
      <c r="E60" s="34">
        <f t="shared" si="30"/>
        <v>0.04766560018959592</v>
      </c>
      <c r="F60" s="34">
        <f t="shared" si="30"/>
        <v>0.05084330686890232</v>
      </c>
      <c r="G60" s="34">
        <f>G53*$A$60</f>
        <v>0.05402101354820872</v>
      </c>
      <c r="H60" s="34">
        <f>H53*$A$60</f>
        <v>0.05719872022751511</v>
      </c>
      <c r="I60" s="34">
        <f t="shared" si="30"/>
        <v>0.060376426906821504</v>
      </c>
      <c r="J60" s="34">
        <f t="shared" si="30"/>
        <v>0.0635541335861279</v>
      </c>
      <c r="K60" s="56"/>
      <c r="L60" s="27">
        <f t="shared" si="23"/>
        <v>0.47306552909112454</v>
      </c>
    </row>
    <row r="61" spans="1:12" ht="15" outlineLevel="1">
      <c r="A61" s="37">
        <v>9</v>
      </c>
      <c r="B61" s="34">
        <f>B53*$A$61</f>
        <v>0.04289904017063633</v>
      </c>
      <c r="C61" s="34">
        <f aca="true" t="shared" si="31" ref="C61:J61">C53*$A$61</f>
        <v>0.04647396018485603</v>
      </c>
      <c r="D61" s="30">
        <f t="shared" si="31"/>
        <v>0.05004888019907572</v>
      </c>
      <c r="E61" s="34">
        <f t="shared" si="31"/>
        <v>0.05362380021329541</v>
      </c>
      <c r="F61" s="34">
        <f t="shared" si="31"/>
        <v>0.05719872022751511</v>
      </c>
      <c r="G61" s="34">
        <f>G53*$A$61</f>
        <v>0.06077364024173481</v>
      </c>
      <c r="H61" s="34">
        <f>H53*$A$61</f>
        <v>0.0643485602559545</v>
      </c>
      <c r="I61" s="34">
        <f t="shared" si="31"/>
        <v>0.0679234802701742</v>
      </c>
      <c r="J61" s="34">
        <f t="shared" si="31"/>
        <v>0.07149840028439389</v>
      </c>
      <c r="K61" s="56"/>
      <c r="L61" s="27">
        <f t="shared" si="23"/>
        <v>0.4794209424497373</v>
      </c>
    </row>
    <row r="62" spans="1:12" ht="15">
      <c r="A62" s="55">
        <v>10</v>
      </c>
      <c r="B62" s="53">
        <f aca="true" t="shared" si="32" ref="B62:J62">B53*$A$62</f>
        <v>0.047665600189595925</v>
      </c>
      <c r="C62" s="53">
        <f t="shared" si="32"/>
        <v>0.05163773353872892</v>
      </c>
      <c r="D62" s="54">
        <f t="shared" si="32"/>
        <v>0.05560986688786191</v>
      </c>
      <c r="E62" s="53">
        <f t="shared" si="32"/>
        <v>0.0595820002369949</v>
      </c>
      <c r="F62" s="53">
        <f t="shared" si="32"/>
        <v>0.06355413358612791</v>
      </c>
      <c r="G62" s="53">
        <f>G53*$A$62</f>
        <v>0.0675262669352609</v>
      </c>
      <c r="H62" s="53">
        <f>H53*$A$62</f>
        <v>0.07149840028439389</v>
      </c>
      <c r="I62" s="52">
        <f t="shared" si="32"/>
        <v>0.07547053363352688</v>
      </c>
      <c r="J62" s="53">
        <f t="shared" si="32"/>
        <v>0.07944266698265987</v>
      </c>
      <c r="K62" s="56"/>
      <c r="L62" s="28">
        <f t="shared" si="23"/>
        <v>0.4857763558083501</v>
      </c>
    </row>
    <row r="63" spans="1:12" ht="15" outlineLevel="1">
      <c r="A63" s="37">
        <v>11</v>
      </c>
      <c r="B63" s="34">
        <f>B53*$A$63</f>
        <v>0.05243216020855551</v>
      </c>
      <c r="C63" s="34">
        <f aca="true" t="shared" si="33" ref="C63:J63">C53*$A$63</f>
        <v>0.056801506892601814</v>
      </c>
      <c r="D63" s="30">
        <f t="shared" si="33"/>
        <v>0.0611708535766481</v>
      </c>
      <c r="E63" s="34">
        <f t="shared" si="33"/>
        <v>0.06554020026069439</v>
      </c>
      <c r="F63" s="34">
        <f t="shared" si="33"/>
        <v>0.06990954694474069</v>
      </c>
      <c r="G63" s="34">
        <f>G53*$A$63</f>
        <v>0.074278893628787</v>
      </c>
      <c r="H63" s="34">
        <f>H53*$A$63</f>
        <v>0.07864824031283328</v>
      </c>
      <c r="I63" s="34">
        <f t="shared" si="33"/>
        <v>0.08301758699687957</v>
      </c>
      <c r="J63" s="34">
        <f t="shared" si="33"/>
        <v>0.08738693368092586</v>
      </c>
      <c r="K63" s="56"/>
      <c r="L63" s="27">
        <f t="shared" si="23"/>
        <v>0.4921317691669629</v>
      </c>
    </row>
    <row r="64" spans="1:12" ht="15" outlineLevel="1">
      <c r="A64" s="37">
        <v>12</v>
      </c>
      <c r="B64" s="34">
        <f>B53*$A$64</f>
        <v>0.057198720227515105</v>
      </c>
      <c r="C64" s="34">
        <f aca="true" t="shared" si="34" ref="C64:J64">C53*$A$64</f>
        <v>0.0619652802464747</v>
      </c>
      <c r="D64" s="30">
        <f t="shared" si="34"/>
        <v>0.06673184026543429</v>
      </c>
      <c r="E64" s="34">
        <f t="shared" si="34"/>
        <v>0.07149840028439387</v>
      </c>
      <c r="F64" s="34">
        <f t="shared" si="34"/>
        <v>0.07626496030335349</v>
      </c>
      <c r="G64" s="34">
        <f>G53*$A$64</f>
        <v>0.08103152032231309</v>
      </c>
      <c r="H64" s="34">
        <f>H53*$A$64</f>
        <v>0.08579808034127268</v>
      </c>
      <c r="I64" s="34">
        <f t="shared" si="34"/>
        <v>0.09056464036023226</v>
      </c>
      <c r="J64" s="34">
        <f t="shared" si="34"/>
        <v>0.09533120037919185</v>
      </c>
      <c r="K64" s="56"/>
      <c r="L64" s="27">
        <f t="shared" si="23"/>
        <v>0.4984871825255757</v>
      </c>
    </row>
    <row r="65" spans="1:12" ht="15" outlineLevel="1">
      <c r="A65" s="37">
        <v>13</v>
      </c>
      <c r="B65" s="34">
        <f>B53*$A$65</f>
        <v>0.0619652802464747</v>
      </c>
      <c r="C65" s="34">
        <f aca="true" t="shared" si="35" ref="C65:J65">C53*$A$65</f>
        <v>0.0671290536003476</v>
      </c>
      <c r="D65" s="30">
        <f t="shared" si="35"/>
        <v>0.07229282695422048</v>
      </c>
      <c r="E65" s="34">
        <f t="shared" si="35"/>
        <v>0.07745660030809337</v>
      </c>
      <c r="F65" s="34">
        <f t="shared" si="35"/>
        <v>0.08262037366196627</v>
      </c>
      <c r="G65" s="34">
        <f>G53*$A$65</f>
        <v>0.08778414701583917</v>
      </c>
      <c r="H65" s="34">
        <f>H53*$A$65</f>
        <v>0.09294792036971206</v>
      </c>
      <c r="I65" s="34">
        <f t="shared" si="35"/>
        <v>0.09811169372358494</v>
      </c>
      <c r="J65" s="34">
        <f t="shared" si="35"/>
        <v>0.10327546707745783</v>
      </c>
      <c r="K65" s="56"/>
      <c r="L65" s="27">
        <f t="shared" si="23"/>
        <v>0.5048425958841884</v>
      </c>
    </row>
    <row r="66" spans="1:12" ht="15" outlineLevel="1">
      <c r="A66" s="51">
        <f>F1/2</f>
        <v>13.112181479179615</v>
      </c>
      <c r="B66" s="34">
        <f>B53*$A$66</f>
        <v>0.0625</v>
      </c>
      <c r="C66" s="34">
        <f aca="true" t="shared" si="36" ref="C66:J66">C53*$A$66</f>
        <v>0.06770833333333334</v>
      </c>
      <c r="D66" s="30">
        <f t="shared" si="36"/>
        <v>0.07291666666666666</v>
      </c>
      <c r="E66" s="34">
        <f t="shared" si="36"/>
        <v>0.07812499999999999</v>
      </c>
      <c r="F66" s="34">
        <f t="shared" si="36"/>
        <v>0.08333333333333334</v>
      </c>
      <c r="G66" s="34">
        <f>G53*$A$66</f>
        <v>0.08854166666666669</v>
      </c>
      <c r="H66" s="34">
        <f>H53*$A$66</f>
        <v>0.09375000000000001</v>
      </c>
      <c r="I66" s="34">
        <f t="shared" si="36"/>
        <v>0.09895833333333333</v>
      </c>
      <c r="J66" s="34">
        <f t="shared" si="36"/>
        <v>0.10416666666666666</v>
      </c>
      <c r="K66" s="56"/>
      <c r="L66" s="27">
        <f t="shared" si="23"/>
        <v>0.5055555555555555</v>
      </c>
    </row>
    <row r="67" spans="1:12" ht="15" outlineLevel="1">
      <c r="A67" s="37">
        <v>14</v>
      </c>
      <c r="B67" s="34">
        <f>B53*$A$67</f>
        <v>0.06673184026543429</v>
      </c>
      <c r="C67" s="34">
        <f aca="true" t="shared" si="37" ref="C67:J67">C53*$A$67</f>
        <v>0.07229282695422048</v>
      </c>
      <c r="D67" s="30">
        <f t="shared" si="37"/>
        <v>0.07785381364300667</v>
      </c>
      <c r="E67" s="34">
        <f t="shared" si="37"/>
        <v>0.08341480033179285</v>
      </c>
      <c r="F67" s="34">
        <f t="shared" si="37"/>
        <v>0.08897578702057907</v>
      </c>
      <c r="G67" s="34">
        <f>G53*$A$67</f>
        <v>0.09453677370936527</v>
      </c>
      <c r="H67" s="34">
        <f>H53*$A$67</f>
        <v>0.10009776039815145</v>
      </c>
      <c r="I67" s="34">
        <f t="shared" si="37"/>
        <v>0.10565874708693763</v>
      </c>
      <c r="J67" s="34">
        <f t="shared" si="37"/>
        <v>0.11121973377572382</v>
      </c>
      <c r="K67" s="56"/>
      <c r="L67" s="27">
        <f t="shared" si="23"/>
        <v>0.5111980092428012</v>
      </c>
    </row>
    <row r="68" spans="1:12" ht="15">
      <c r="A68" s="55">
        <v>15</v>
      </c>
      <c r="B68" s="53">
        <f aca="true" t="shared" si="38" ref="B68:J68">B53*$A$68</f>
        <v>0.07149840028439389</v>
      </c>
      <c r="C68" s="53">
        <f t="shared" si="38"/>
        <v>0.07745660030809338</v>
      </c>
      <c r="D68" s="54">
        <f t="shared" si="38"/>
        <v>0.08341480033179287</v>
      </c>
      <c r="E68" s="53">
        <f t="shared" si="38"/>
        <v>0.08937300035549235</v>
      </c>
      <c r="F68" s="53">
        <f t="shared" si="38"/>
        <v>0.09533120037919185</v>
      </c>
      <c r="G68" s="53">
        <f>G53*$A$68</f>
        <v>0.10128940040289135</v>
      </c>
      <c r="H68" s="53">
        <f>H53*$A$68</f>
        <v>0.10724760042659083</v>
      </c>
      <c r="I68" s="52">
        <f t="shared" si="38"/>
        <v>0.11320580045029031</v>
      </c>
      <c r="J68" s="53">
        <f t="shared" si="38"/>
        <v>0.1191640004739898</v>
      </c>
      <c r="K68" s="56"/>
      <c r="L68" s="28">
        <f t="shared" si="23"/>
        <v>0.517553422601414</v>
      </c>
    </row>
    <row r="69" spans="1:12" ht="15" outlineLevel="1">
      <c r="A69" s="37">
        <v>16</v>
      </c>
      <c r="B69" s="34">
        <f>B53*$A$69</f>
        <v>0.07626496030335347</v>
      </c>
      <c r="C69" s="34">
        <f aca="true" t="shared" si="39" ref="C69:J69">C53*$A$69</f>
        <v>0.08262037366196627</v>
      </c>
      <c r="D69" s="30">
        <f t="shared" si="39"/>
        <v>0.08897578702057905</v>
      </c>
      <c r="E69" s="34">
        <f t="shared" si="39"/>
        <v>0.09533120037919184</v>
      </c>
      <c r="F69" s="34">
        <f t="shared" si="39"/>
        <v>0.10168661373780465</v>
      </c>
      <c r="G69" s="34">
        <f>G53*$A$69</f>
        <v>0.10804202709641744</v>
      </c>
      <c r="H69" s="34">
        <f>H53*$A$69</f>
        <v>0.11439744045503022</v>
      </c>
      <c r="I69" s="34">
        <f t="shared" si="39"/>
        <v>0.12075285381364301</v>
      </c>
      <c r="J69" s="34">
        <f t="shared" si="39"/>
        <v>0.1271082671722558</v>
      </c>
      <c r="K69" s="56"/>
      <c r="L69" s="27">
        <f t="shared" si="23"/>
        <v>0.5239088359600269</v>
      </c>
    </row>
    <row r="70" spans="1:12" ht="15" outlineLevel="1">
      <c r="A70" s="37">
        <v>17</v>
      </c>
      <c r="B70" s="34">
        <f>B53*$A$70</f>
        <v>0.08103152032231306</v>
      </c>
      <c r="C70" s="34">
        <f aca="true" t="shared" si="40" ref="C70:J70">C53*$A$70</f>
        <v>0.08778414701583916</v>
      </c>
      <c r="D70" s="30">
        <f t="shared" si="40"/>
        <v>0.09453677370936524</v>
      </c>
      <c r="E70" s="34">
        <f t="shared" si="40"/>
        <v>0.10128940040289132</v>
      </c>
      <c r="F70" s="34">
        <f t="shared" si="40"/>
        <v>0.10804202709641744</v>
      </c>
      <c r="G70" s="34">
        <f>G53*$A$70</f>
        <v>0.11479465378994354</v>
      </c>
      <c r="H70" s="34">
        <f>H53*$A$70</f>
        <v>0.12154728048346962</v>
      </c>
      <c r="I70" s="34">
        <f t="shared" si="40"/>
        <v>0.1282999071769957</v>
      </c>
      <c r="J70" s="34">
        <f t="shared" si="40"/>
        <v>0.13505253387052177</v>
      </c>
      <c r="K70" s="56"/>
      <c r="L70" s="27">
        <f t="shared" si="23"/>
        <v>0.5302642493186397</v>
      </c>
    </row>
    <row r="71" spans="1:12" ht="15" outlineLevel="1">
      <c r="A71" s="37">
        <v>18</v>
      </c>
      <c r="B71" s="34">
        <f>B53*$A$71</f>
        <v>0.08579808034127266</v>
      </c>
      <c r="C71" s="34">
        <f aca="true" t="shared" si="41" ref="C71:J71">C53*$A$71</f>
        <v>0.09294792036971206</v>
      </c>
      <c r="D71" s="30">
        <f t="shared" si="41"/>
        <v>0.10009776039815144</v>
      </c>
      <c r="E71" s="34">
        <f t="shared" si="41"/>
        <v>0.10724760042659082</v>
      </c>
      <c r="F71" s="34">
        <f t="shared" si="41"/>
        <v>0.11439744045503022</v>
      </c>
      <c r="G71" s="34">
        <f>G53*$A$71</f>
        <v>0.12154728048346962</v>
      </c>
      <c r="H71" s="34">
        <f>H53*$A$71</f>
        <v>0.128697120511909</v>
      </c>
      <c r="I71" s="34">
        <f t="shared" si="41"/>
        <v>0.1358469605403484</v>
      </c>
      <c r="J71" s="34">
        <f t="shared" si="41"/>
        <v>0.14299680056878777</v>
      </c>
      <c r="K71" s="56"/>
      <c r="L71" s="27">
        <f t="shared" si="23"/>
        <v>0.5366196626772525</v>
      </c>
    </row>
    <row r="72" spans="1:12" ht="15" outlineLevel="1">
      <c r="A72" s="37">
        <v>19</v>
      </c>
      <c r="B72" s="34">
        <f>B53*$A$72</f>
        <v>0.09056464036023225</v>
      </c>
      <c r="C72" s="34">
        <f aca="true" t="shared" si="42" ref="C72:J72">C53*$A$72</f>
        <v>0.09811169372358494</v>
      </c>
      <c r="D72" s="30">
        <f t="shared" si="42"/>
        <v>0.10565874708693762</v>
      </c>
      <c r="E72" s="34">
        <f t="shared" si="42"/>
        <v>0.1132058004502903</v>
      </c>
      <c r="F72" s="34">
        <f t="shared" si="42"/>
        <v>0.12075285381364302</v>
      </c>
      <c r="G72" s="34">
        <f>G53*$A$72</f>
        <v>0.12829990717699571</v>
      </c>
      <c r="H72" s="34">
        <f>H53*$A$72</f>
        <v>0.1358469605403484</v>
      </c>
      <c r="I72" s="34">
        <f t="shared" si="42"/>
        <v>0.14339401390370107</v>
      </c>
      <c r="J72" s="34">
        <f t="shared" si="42"/>
        <v>0.15094106726705375</v>
      </c>
      <c r="K72" s="56"/>
      <c r="L72" s="27">
        <f t="shared" si="23"/>
        <v>0.5429750760358653</v>
      </c>
    </row>
    <row r="73" spans="1:12" ht="15">
      <c r="A73" s="55">
        <v>20</v>
      </c>
      <c r="B73" s="53">
        <f aca="true" t="shared" si="43" ref="B73:J73">B53*$A$73</f>
        <v>0.09533120037919185</v>
      </c>
      <c r="C73" s="53">
        <f t="shared" si="43"/>
        <v>0.10327546707745784</v>
      </c>
      <c r="D73" s="54">
        <f t="shared" si="43"/>
        <v>0.11121973377572382</v>
      </c>
      <c r="E73" s="53">
        <f t="shared" si="43"/>
        <v>0.1191640004739898</v>
      </c>
      <c r="F73" s="53">
        <f t="shared" si="43"/>
        <v>0.12710826717225582</v>
      </c>
      <c r="G73" s="53">
        <f>G53*$A$73</f>
        <v>0.1350525338705218</v>
      </c>
      <c r="H73" s="53">
        <f>H53*$A$73</f>
        <v>0.14299680056878777</v>
      </c>
      <c r="I73" s="52">
        <f t="shared" si="43"/>
        <v>0.15094106726705375</v>
      </c>
      <c r="J73" s="53">
        <f t="shared" si="43"/>
        <v>0.15888533396531973</v>
      </c>
      <c r="K73" s="56"/>
      <c r="L73" s="28">
        <f t="shared" si="23"/>
        <v>0.549330489394478</v>
      </c>
    </row>
    <row r="74" spans="1:12" ht="15" outlineLevel="1">
      <c r="A74" s="37">
        <v>21</v>
      </c>
      <c r="B74" s="34">
        <f>B53*$A$74</f>
        <v>0.10009776039815144</v>
      </c>
      <c r="C74" s="34">
        <f aca="true" t="shared" si="44" ref="C74:J74">C53*$A$74</f>
        <v>0.10843924043133073</v>
      </c>
      <c r="D74" s="30">
        <f t="shared" si="44"/>
        <v>0.11678072046451</v>
      </c>
      <c r="E74" s="34">
        <f t="shared" si="44"/>
        <v>0.1251222004976893</v>
      </c>
      <c r="F74" s="34">
        <f t="shared" si="44"/>
        <v>0.1334636805308686</v>
      </c>
      <c r="G74" s="34">
        <f>G53*$A$74</f>
        <v>0.1418051605640479</v>
      </c>
      <c r="H74" s="34">
        <f>H53*$A$74</f>
        <v>0.15014664059722718</v>
      </c>
      <c r="I74" s="34">
        <f t="shared" si="44"/>
        <v>0.15848812063040646</v>
      </c>
      <c r="J74" s="34">
        <f t="shared" si="44"/>
        <v>0.16682960066358574</v>
      </c>
      <c r="K74" s="56"/>
      <c r="L74" s="27">
        <f t="shared" si="23"/>
        <v>0.5556859027530908</v>
      </c>
    </row>
    <row r="75" spans="1:12" ht="15" outlineLevel="1">
      <c r="A75" s="37">
        <v>22</v>
      </c>
      <c r="B75" s="34">
        <f>B53*$A$75</f>
        <v>0.10486432041711102</v>
      </c>
      <c r="C75" s="34">
        <f aca="true" t="shared" si="45" ref="C75:J75">C53*$A$75</f>
        <v>0.11360301378520363</v>
      </c>
      <c r="D75" s="30">
        <f t="shared" si="45"/>
        <v>0.1223417071532962</v>
      </c>
      <c r="E75" s="34">
        <f t="shared" si="45"/>
        <v>0.13108040052138878</v>
      </c>
      <c r="F75" s="34">
        <f t="shared" si="45"/>
        <v>0.13981909388948138</v>
      </c>
      <c r="G75" s="34">
        <f>G53*$A$75</f>
        <v>0.148557787257574</v>
      </c>
      <c r="H75" s="34">
        <f>H53*$A$75</f>
        <v>0.15729648062566656</v>
      </c>
      <c r="I75" s="34">
        <f t="shared" si="45"/>
        <v>0.16603517399375914</v>
      </c>
      <c r="J75" s="34">
        <f t="shared" si="45"/>
        <v>0.17477386736185171</v>
      </c>
      <c r="K75" s="56"/>
      <c r="L75" s="27">
        <f t="shared" si="23"/>
        <v>0.5620413161117036</v>
      </c>
    </row>
    <row r="76" spans="1:12" ht="15" outlineLevel="1">
      <c r="A76" s="37">
        <v>23</v>
      </c>
      <c r="B76" s="34">
        <f>B53*$A$76</f>
        <v>0.10963088043607062</v>
      </c>
      <c r="C76" s="34">
        <f aca="true" t="shared" si="46" ref="C76:J76">C53*$A$76</f>
        <v>0.11876678713907651</v>
      </c>
      <c r="D76" s="30">
        <f t="shared" si="46"/>
        <v>0.1279026938420824</v>
      </c>
      <c r="E76" s="34">
        <f t="shared" si="46"/>
        <v>0.13703860054508826</v>
      </c>
      <c r="F76" s="34">
        <f t="shared" si="46"/>
        <v>0.14617450724809417</v>
      </c>
      <c r="G76" s="34">
        <f>G53*$A$76</f>
        <v>0.15531041395110007</v>
      </c>
      <c r="H76" s="34">
        <f>H53*$A$76</f>
        <v>0.16444632065410594</v>
      </c>
      <c r="I76" s="34">
        <f t="shared" si="46"/>
        <v>0.17358222735711182</v>
      </c>
      <c r="J76" s="34">
        <f t="shared" si="46"/>
        <v>0.1827181340601177</v>
      </c>
      <c r="K76" s="56"/>
      <c r="L76" s="27">
        <f t="shared" si="23"/>
        <v>0.5683967294703164</v>
      </c>
    </row>
    <row r="77" spans="1:12" ht="15" outlineLevel="1">
      <c r="A77" s="37">
        <v>24</v>
      </c>
      <c r="B77" s="34">
        <f>B53*$A$77</f>
        <v>0.11439744045503021</v>
      </c>
      <c r="C77" s="34">
        <f aca="true" t="shared" si="47" ref="C77:J77">C53*$A$77</f>
        <v>0.1239305604929494</v>
      </c>
      <c r="D77" s="30">
        <f t="shared" si="47"/>
        <v>0.13346368053086857</v>
      </c>
      <c r="E77" s="34">
        <f t="shared" si="47"/>
        <v>0.14299680056878775</v>
      </c>
      <c r="F77" s="34">
        <f t="shared" si="47"/>
        <v>0.15252992060670698</v>
      </c>
      <c r="G77" s="34">
        <f>G53*$A$77</f>
        <v>0.16206304064462618</v>
      </c>
      <c r="H77" s="34">
        <f>H53*$A$77</f>
        <v>0.17159616068254535</v>
      </c>
      <c r="I77" s="34">
        <f t="shared" si="47"/>
        <v>0.18112928072046452</v>
      </c>
      <c r="J77" s="34">
        <f t="shared" si="47"/>
        <v>0.1906624007583837</v>
      </c>
      <c r="K77" s="56"/>
      <c r="L77" s="27">
        <f t="shared" si="23"/>
        <v>0.5747521428289292</v>
      </c>
    </row>
    <row r="78" spans="1:12" ht="15">
      <c r="A78" s="55">
        <v>25</v>
      </c>
      <c r="B78" s="53">
        <f aca="true" t="shared" si="48" ref="B78:J78">B53*$A$78</f>
        <v>0.1191640004739898</v>
      </c>
      <c r="C78" s="53">
        <f t="shared" si="48"/>
        <v>0.12909433384682228</v>
      </c>
      <c r="D78" s="54">
        <f t="shared" si="48"/>
        <v>0.13902466721965476</v>
      </c>
      <c r="E78" s="53">
        <f t="shared" si="48"/>
        <v>0.14895500059248723</v>
      </c>
      <c r="F78" s="53">
        <f t="shared" si="48"/>
        <v>0.15888533396531976</v>
      </c>
      <c r="G78" s="53">
        <f>G53*$A$78</f>
        <v>0.16881566733815226</v>
      </c>
      <c r="H78" s="53">
        <f>H53*$A$78</f>
        <v>0.17874600071098473</v>
      </c>
      <c r="I78" s="52">
        <f t="shared" si="48"/>
        <v>0.1886763340838172</v>
      </c>
      <c r="J78" s="53">
        <f t="shared" si="48"/>
        <v>0.19860666745664968</v>
      </c>
      <c r="K78" s="56"/>
      <c r="L78" s="28">
        <f t="shared" si="23"/>
        <v>0.581107556187542</v>
      </c>
    </row>
    <row r="79" spans="1:12" ht="15">
      <c r="A79" s="40">
        <f>F1</f>
        <v>26.22436295835923</v>
      </c>
      <c r="B79" s="34">
        <f aca="true" t="shared" si="49" ref="B79:J79">B53*$A$79</f>
        <v>0.125</v>
      </c>
      <c r="C79" s="34">
        <f t="shared" si="49"/>
        <v>0.13541666666666669</v>
      </c>
      <c r="D79" s="30">
        <f t="shared" si="49"/>
        <v>0.14583333333333331</v>
      </c>
      <c r="E79" s="34">
        <f t="shared" si="49"/>
        <v>0.15624999999999997</v>
      </c>
      <c r="F79" s="34">
        <f t="shared" si="49"/>
        <v>0.16666666666666669</v>
      </c>
      <c r="G79" s="34">
        <f>G53*$A$79</f>
        <v>0.17708333333333337</v>
      </c>
      <c r="H79" s="34">
        <f>H53*$A$79</f>
        <v>0.18750000000000003</v>
      </c>
      <c r="I79" s="41">
        <f t="shared" si="49"/>
        <v>0.19791666666666666</v>
      </c>
      <c r="J79" s="34">
        <f t="shared" si="49"/>
        <v>0.20833333333333331</v>
      </c>
      <c r="K79" s="56"/>
      <c r="L79" s="27">
        <f t="shared" si="23"/>
        <v>0.5888888888888889</v>
      </c>
    </row>
    <row r="80" spans="1:12" ht="3.75" customHeight="1">
      <c r="A80" s="49"/>
      <c r="B80" s="50"/>
      <c r="C80" s="7"/>
      <c r="D80" s="6"/>
      <c r="E80" s="50"/>
      <c r="F80" s="16"/>
      <c r="G80" s="16"/>
      <c r="H80" s="16"/>
      <c r="I80" s="48"/>
      <c r="J80" s="7" t="s">
        <v>25</v>
      </c>
      <c r="L80" s="29"/>
    </row>
  </sheetData>
  <printOptions/>
  <pageMargins left="0.75" right="0.75" top="1" bottom="1" header="0.4921259845" footer="0.4921259845"/>
  <pageSetup fitToHeight="1" fitToWidth="1" horizontalDpi="360" verticalDpi="36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E3" sqref="E3:F11"/>
    </sheetView>
  </sheetViews>
  <sheetFormatPr defaultColWidth="11.5546875" defaultRowHeight="15"/>
  <cols>
    <col min="1" max="1" width="3.3359375" style="0" customWidth="1"/>
    <col min="2" max="2" width="4.99609375" style="0" hidden="1" customWidth="1"/>
    <col min="3" max="3" width="5.77734375" style="17" customWidth="1"/>
    <col min="4" max="4" width="3.6640625" style="17" customWidth="1"/>
    <col min="5" max="5" width="2.6640625" style="17" customWidth="1"/>
    <col min="6" max="6" width="3.88671875" style="0" customWidth="1"/>
    <col min="8" max="8" width="3.5546875" style="0" bestFit="1" customWidth="1"/>
    <col min="9" max="10" width="6.77734375" style="0" customWidth="1"/>
    <col min="11" max="11" width="7.77734375" style="0" customWidth="1"/>
    <col min="12" max="12" width="4.10546875" style="0" customWidth="1"/>
    <col min="13" max="13" width="2.77734375" style="0" customWidth="1"/>
    <col min="14" max="14" width="3.5546875" style="0" bestFit="1" customWidth="1"/>
  </cols>
  <sheetData>
    <row r="1" spans="1:13" ht="12.75" customHeight="1">
      <c r="A1" s="20" t="s">
        <v>49</v>
      </c>
      <c r="B1" s="84" t="s">
        <v>29</v>
      </c>
      <c r="C1" s="85" t="s">
        <v>59</v>
      </c>
      <c r="E1" s="17" t="s">
        <v>55</v>
      </c>
      <c r="H1" s="85" t="s">
        <v>73</v>
      </c>
      <c r="I1" s="85" t="s">
        <v>74</v>
      </c>
      <c r="J1" s="85" t="s">
        <v>29</v>
      </c>
      <c r="K1" s="85" t="s">
        <v>59</v>
      </c>
      <c r="M1" s="17" t="s">
        <v>55</v>
      </c>
    </row>
    <row r="2" spans="1:13" ht="12" customHeight="1">
      <c r="A2" s="17">
        <v>1</v>
      </c>
      <c r="B2" s="244">
        <v>0.0037037037037037034</v>
      </c>
      <c r="C2" s="23">
        <f>+B2</f>
        <v>0.0037037037037037034</v>
      </c>
      <c r="E2" s="85" t="s">
        <v>49</v>
      </c>
      <c r="H2" s="17">
        <v>1</v>
      </c>
      <c r="I2" s="19">
        <v>0.006018518518518518</v>
      </c>
      <c r="J2" s="19">
        <f>+I2/1.609</f>
        <v>0.0037405335727274816</v>
      </c>
      <c r="K2" s="23">
        <f>+I2</f>
        <v>0.006018518518518518</v>
      </c>
      <c r="M2" s="85" t="s">
        <v>73</v>
      </c>
    </row>
    <row r="3" spans="1:14" ht="12" customHeight="1">
      <c r="A3" s="17">
        <v>2</v>
      </c>
      <c r="B3" s="244">
        <v>0.003587962962962963</v>
      </c>
      <c r="C3" s="23">
        <f>+B3+C2</f>
        <v>0.007291666666666667</v>
      </c>
      <c r="E3" s="89">
        <v>5</v>
      </c>
      <c r="F3" s="104">
        <f>+C6</f>
        <v>0.017997685185185186</v>
      </c>
      <c r="H3" s="17">
        <v>2</v>
      </c>
      <c r="I3" s="19">
        <v>0.006018518518518518</v>
      </c>
      <c r="J3" s="19">
        <f aca="true" t="shared" si="0" ref="J3:J28">+I3/1.609</f>
        <v>0.0037405335727274816</v>
      </c>
      <c r="K3" s="23">
        <f>+I3+K2</f>
        <v>0.012037037037037035</v>
      </c>
      <c r="M3" s="89">
        <v>5</v>
      </c>
      <c r="N3" s="104">
        <f>+K6</f>
        <v>0.02986111111111111</v>
      </c>
    </row>
    <row r="4" spans="1:14" ht="12" customHeight="1">
      <c r="A4" s="17">
        <v>3</v>
      </c>
      <c r="B4" s="244">
        <v>0.003587962962962963</v>
      </c>
      <c r="C4" s="67">
        <f aca="true" t="shared" si="1" ref="C4:C43">+B4+C3</f>
        <v>0.01087962962962963</v>
      </c>
      <c r="D4" s="20"/>
      <c r="E4" s="90">
        <v>10</v>
      </c>
      <c r="F4" s="105">
        <f>+C11</f>
        <v>0.035648148148148144</v>
      </c>
      <c r="H4" s="17">
        <v>3</v>
      </c>
      <c r="I4" s="19">
        <v>0.006018518518518518</v>
      </c>
      <c r="J4" s="19">
        <f t="shared" si="0"/>
        <v>0.0037405335727274816</v>
      </c>
      <c r="K4" s="67">
        <f aca="true" t="shared" si="2" ref="K4:K14">+I4+K3</f>
        <v>0.018055555555555554</v>
      </c>
      <c r="M4" s="90">
        <v>10</v>
      </c>
      <c r="N4" s="105">
        <f>+K11</f>
        <v>0.059375</v>
      </c>
    </row>
    <row r="5" spans="1:14" ht="12" customHeight="1">
      <c r="A5" s="17">
        <v>4</v>
      </c>
      <c r="B5" s="244">
        <v>0.003587962962962963</v>
      </c>
      <c r="C5" s="67">
        <f t="shared" si="1"/>
        <v>0.014467592592592593</v>
      </c>
      <c r="E5" s="91">
        <v>15</v>
      </c>
      <c r="F5" s="110">
        <f>+C16</f>
        <v>0.053587962962962955</v>
      </c>
      <c r="H5" s="17">
        <v>4</v>
      </c>
      <c r="I5" s="19">
        <v>0.005902777777777778</v>
      </c>
      <c r="J5" s="19">
        <f t="shared" si="0"/>
        <v>0.003668600234790415</v>
      </c>
      <c r="K5" s="67">
        <f t="shared" si="2"/>
        <v>0.02395833333333333</v>
      </c>
      <c r="M5" s="101" t="s">
        <v>75</v>
      </c>
      <c r="N5" s="106">
        <f>+K15</f>
        <v>0.07755996363050434</v>
      </c>
    </row>
    <row r="6" spans="1:14" ht="12" customHeight="1">
      <c r="A6" s="246">
        <v>5</v>
      </c>
      <c r="B6" s="247">
        <v>0.003530092592592592</v>
      </c>
      <c r="C6" s="248">
        <f t="shared" si="1"/>
        <v>0.017997685185185186</v>
      </c>
      <c r="E6" s="90">
        <v>20</v>
      </c>
      <c r="F6" s="105">
        <f>+C21</f>
        <v>0.07123842592592593</v>
      </c>
      <c r="H6" s="21">
        <v>5</v>
      </c>
      <c r="I6" s="22">
        <v>0.005902777777777778</v>
      </c>
      <c r="J6" s="22">
        <f t="shared" si="0"/>
        <v>0.003668600234790415</v>
      </c>
      <c r="K6" s="68">
        <f t="shared" si="2"/>
        <v>0.02986111111111111</v>
      </c>
      <c r="M6" s="102">
        <v>15</v>
      </c>
      <c r="N6" s="107">
        <f>+K17</f>
        <v>0.08859953703703705</v>
      </c>
    </row>
    <row r="7" spans="1:14" ht="12" customHeight="1">
      <c r="A7" s="17">
        <v>6</v>
      </c>
      <c r="B7" s="244">
        <v>0.003530092592592592</v>
      </c>
      <c r="C7" s="67">
        <f t="shared" si="1"/>
        <v>0.021527777777777778</v>
      </c>
      <c r="E7" s="92" t="s">
        <v>75</v>
      </c>
      <c r="F7" s="106">
        <f>+C23</f>
        <v>0.07510740740740741</v>
      </c>
      <c r="H7" s="17">
        <v>6</v>
      </c>
      <c r="I7" s="19">
        <v>0.005902777777777778</v>
      </c>
      <c r="J7" s="19">
        <f t="shared" si="0"/>
        <v>0.003668600234790415</v>
      </c>
      <c r="K7" s="67">
        <f t="shared" si="2"/>
        <v>0.03576388888888889</v>
      </c>
      <c r="M7" s="103">
        <v>20</v>
      </c>
      <c r="N7" s="108">
        <f>+K22</f>
        <v>0.11811342592592594</v>
      </c>
    </row>
    <row r="8" spans="1:14" ht="12" customHeight="1">
      <c r="A8" s="17">
        <v>7</v>
      </c>
      <c r="B8" s="244">
        <v>0.003530092592592592</v>
      </c>
      <c r="C8" s="67">
        <f t="shared" si="1"/>
        <v>0.02505787037037037</v>
      </c>
      <c r="D8" s="20"/>
      <c r="E8" s="90">
        <v>25</v>
      </c>
      <c r="F8" s="105">
        <f>+C27</f>
        <v>0.08894675925925928</v>
      </c>
      <c r="H8" s="17">
        <v>7</v>
      </c>
      <c r="I8" s="19">
        <v>0.005902777777777778</v>
      </c>
      <c r="J8" s="19">
        <f t="shared" si="0"/>
        <v>0.003668600234790415</v>
      </c>
      <c r="K8" s="67">
        <f t="shared" si="2"/>
        <v>0.041666666666666664</v>
      </c>
      <c r="M8" s="100">
        <v>25</v>
      </c>
      <c r="N8" s="109">
        <f>+K27</f>
        <v>0.14837962962962967</v>
      </c>
    </row>
    <row r="9" spans="1:14" ht="12" customHeight="1">
      <c r="A9" s="17">
        <v>8</v>
      </c>
      <c r="B9" s="244">
        <v>0.003530092592592592</v>
      </c>
      <c r="C9" s="67">
        <f t="shared" si="1"/>
        <v>0.02858796296296296</v>
      </c>
      <c r="E9" s="93">
        <v>30</v>
      </c>
      <c r="F9" s="110">
        <f>+C32</f>
        <v>0.10688657407407408</v>
      </c>
      <c r="H9" s="17">
        <v>8</v>
      </c>
      <c r="I9" s="19">
        <v>0.005902777777777778</v>
      </c>
      <c r="J9" s="19">
        <f t="shared" si="0"/>
        <v>0.003668600234790415</v>
      </c>
      <c r="K9" s="67">
        <f t="shared" si="2"/>
        <v>0.04756944444444444</v>
      </c>
      <c r="M9" s="98"/>
      <c r="N9" s="99"/>
    </row>
    <row r="10" spans="1:14" ht="12" customHeight="1">
      <c r="A10" s="17">
        <v>9</v>
      </c>
      <c r="B10" s="244">
        <v>0.003530092592592592</v>
      </c>
      <c r="C10" s="67">
        <f t="shared" si="1"/>
        <v>0.03211805555555555</v>
      </c>
      <c r="E10" s="90">
        <v>35</v>
      </c>
      <c r="F10" s="105">
        <f>+C37</f>
        <v>0.12540509259259258</v>
      </c>
      <c r="H10" s="17">
        <v>9</v>
      </c>
      <c r="I10" s="19">
        <v>0.005902777777777778</v>
      </c>
      <c r="J10" s="19">
        <f t="shared" si="0"/>
        <v>0.003668600234790415</v>
      </c>
      <c r="K10" s="67">
        <f t="shared" si="2"/>
        <v>0.05347222222222222</v>
      </c>
      <c r="M10" s="98"/>
      <c r="N10" s="99"/>
    </row>
    <row r="11" spans="1:14" ht="12" customHeight="1">
      <c r="A11" s="246">
        <v>10</v>
      </c>
      <c r="B11" s="247">
        <v>0.003530092592592592</v>
      </c>
      <c r="C11" s="248">
        <f t="shared" si="1"/>
        <v>0.035648148148148144</v>
      </c>
      <c r="E11" s="94">
        <v>40</v>
      </c>
      <c r="F11" s="111">
        <f>+C42</f>
        <v>0.14392361111111113</v>
      </c>
      <c r="H11" s="21">
        <v>10</v>
      </c>
      <c r="I11" s="22">
        <v>0.005902777777777778</v>
      </c>
      <c r="J11" s="22">
        <f t="shared" si="0"/>
        <v>0.003668600234790415</v>
      </c>
      <c r="K11" s="68">
        <f t="shared" si="2"/>
        <v>0.059375</v>
      </c>
      <c r="M11" s="96"/>
      <c r="N11" s="97"/>
    </row>
    <row r="12" spans="1:11" ht="12" customHeight="1">
      <c r="A12" s="17">
        <v>11</v>
      </c>
      <c r="B12" s="244">
        <v>0.003530092592592592</v>
      </c>
      <c r="C12" s="67">
        <f t="shared" si="1"/>
        <v>0.039178240740740736</v>
      </c>
      <c r="H12" s="17">
        <v>11</v>
      </c>
      <c r="I12" s="19">
        <v>0.005844907407407407</v>
      </c>
      <c r="J12" s="19">
        <f t="shared" si="0"/>
        <v>0.0036326335658218812</v>
      </c>
      <c r="K12" s="67">
        <f t="shared" si="2"/>
        <v>0.06521990740740741</v>
      </c>
    </row>
    <row r="13" spans="1:14" ht="12" customHeight="1">
      <c r="A13" s="17">
        <v>12</v>
      </c>
      <c r="B13" s="244">
        <v>0.003530092592592592</v>
      </c>
      <c r="C13" s="67">
        <f t="shared" si="1"/>
        <v>0.04270833333333333</v>
      </c>
      <c r="H13" s="17">
        <v>12</v>
      </c>
      <c r="I13" s="19">
        <v>0.005844907407407407</v>
      </c>
      <c r="J13" s="19">
        <f t="shared" si="0"/>
        <v>0.0036326335658218812</v>
      </c>
      <c r="K13" s="67">
        <f t="shared" si="2"/>
        <v>0.07106481481481482</v>
      </c>
      <c r="N13" s="19"/>
    </row>
    <row r="14" spans="1:14" ht="12" customHeight="1">
      <c r="A14" s="17">
        <v>13</v>
      </c>
      <c r="B14" s="244">
        <v>0.0038194444444444443</v>
      </c>
      <c r="C14" s="67">
        <f t="shared" si="1"/>
        <v>0.04652777777777777</v>
      </c>
      <c r="H14" s="17">
        <v>13</v>
      </c>
      <c r="I14" s="19">
        <v>0.005844907407407407</v>
      </c>
      <c r="J14" s="19">
        <f t="shared" si="0"/>
        <v>0.0036326335658218812</v>
      </c>
      <c r="K14" s="67">
        <f t="shared" si="2"/>
        <v>0.07690972222222223</v>
      </c>
      <c r="N14" s="19"/>
    </row>
    <row r="15" spans="1:14" ht="12" customHeight="1">
      <c r="A15" s="17">
        <v>14</v>
      </c>
      <c r="B15" s="244">
        <v>0.003530092592592592</v>
      </c>
      <c r="C15" s="67">
        <f t="shared" si="1"/>
        <v>0.050057870370370364</v>
      </c>
      <c r="H15" s="70">
        <f>+A23/1.609</f>
        <v>13.11124922311995</v>
      </c>
      <c r="I15" s="71">
        <v>0.005844907407407407</v>
      </c>
      <c r="J15" s="71">
        <f t="shared" si="0"/>
        <v>0.0036326335658218812</v>
      </c>
      <c r="K15" s="72">
        <f>+I15*(H15-H14)+K14</f>
        <v>0.07755996363050434</v>
      </c>
      <c r="N15" s="19"/>
    </row>
    <row r="16" spans="1:11" ht="12" customHeight="1">
      <c r="A16" s="246">
        <v>15</v>
      </c>
      <c r="B16" s="247">
        <v>0.003530092592592592</v>
      </c>
      <c r="C16" s="248">
        <f t="shared" si="1"/>
        <v>0.053587962962962955</v>
      </c>
      <c r="H16" s="17">
        <v>14</v>
      </c>
      <c r="I16" s="19">
        <v>0.005844907407407407</v>
      </c>
      <c r="J16" s="19">
        <f t="shared" si="0"/>
        <v>0.0036326335658218812</v>
      </c>
      <c r="K16" s="67">
        <f>+I16+K14</f>
        <v>0.08275462962962964</v>
      </c>
    </row>
    <row r="17" spans="1:11" ht="12" customHeight="1">
      <c r="A17" s="17">
        <v>16</v>
      </c>
      <c r="B17" s="244">
        <v>0.003530092592592592</v>
      </c>
      <c r="C17" s="67">
        <f t="shared" si="1"/>
        <v>0.05711805555555555</v>
      </c>
      <c r="H17" s="21">
        <v>15</v>
      </c>
      <c r="I17" s="22">
        <v>0.005844907407407407</v>
      </c>
      <c r="J17" s="22">
        <f t="shared" si="0"/>
        <v>0.0036326335658218812</v>
      </c>
      <c r="K17" s="68">
        <f aca="true" t="shared" si="3" ref="K17:K27">+I17+K16</f>
        <v>0.08859953703703705</v>
      </c>
    </row>
    <row r="18" spans="1:11" ht="12" customHeight="1">
      <c r="A18" s="17">
        <v>17</v>
      </c>
      <c r="B18" s="244">
        <v>0.003530092592592592</v>
      </c>
      <c r="C18" s="67">
        <f t="shared" si="1"/>
        <v>0.06064814814814814</v>
      </c>
      <c r="H18" s="17">
        <v>16</v>
      </c>
      <c r="I18" s="19">
        <v>0.005844907407407407</v>
      </c>
      <c r="J18" s="19">
        <f t="shared" si="0"/>
        <v>0.0036326335658218812</v>
      </c>
      <c r="K18" s="67">
        <f t="shared" si="3"/>
        <v>0.09444444444444446</v>
      </c>
    </row>
    <row r="19" spans="1:11" ht="12" customHeight="1">
      <c r="A19" s="17">
        <v>18</v>
      </c>
      <c r="B19" s="244">
        <v>0.003530092592592592</v>
      </c>
      <c r="C19" s="67">
        <f t="shared" si="1"/>
        <v>0.06417824074074073</v>
      </c>
      <c r="H19" s="17">
        <v>17</v>
      </c>
      <c r="I19" s="19">
        <v>0.005902777777777778</v>
      </c>
      <c r="J19" s="19">
        <f t="shared" si="0"/>
        <v>0.003668600234790415</v>
      </c>
      <c r="K19" s="67">
        <f t="shared" si="3"/>
        <v>0.10034722222222223</v>
      </c>
    </row>
    <row r="20" spans="1:11" ht="12" customHeight="1">
      <c r="A20" s="17">
        <v>19</v>
      </c>
      <c r="B20" s="244">
        <v>0.003530092592592592</v>
      </c>
      <c r="C20" s="67">
        <f t="shared" si="1"/>
        <v>0.06770833333333333</v>
      </c>
      <c r="H20" s="17">
        <v>18</v>
      </c>
      <c r="I20" s="19">
        <v>0.005902777777777778</v>
      </c>
      <c r="J20" s="19">
        <f t="shared" si="0"/>
        <v>0.003668600234790415</v>
      </c>
      <c r="K20" s="67">
        <f t="shared" si="3"/>
        <v>0.10625000000000001</v>
      </c>
    </row>
    <row r="21" spans="1:11" ht="12" customHeight="1">
      <c r="A21" s="246">
        <v>20</v>
      </c>
      <c r="B21" s="247">
        <v>0.003530092592592592</v>
      </c>
      <c r="C21" s="248">
        <f t="shared" si="1"/>
        <v>0.07123842592592593</v>
      </c>
      <c r="H21" s="17">
        <v>19</v>
      </c>
      <c r="I21" s="19">
        <v>0.005902777777777778</v>
      </c>
      <c r="J21" s="19">
        <f t="shared" si="0"/>
        <v>0.003668600234790415</v>
      </c>
      <c r="K21" s="67">
        <f t="shared" si="3"/>
        <v>0.1121527777777778</v>
      </c>
    </row>
    <row r="22" spans="1:11" ht="12" customHeight="1">
      <c r="A22" s="17">
        <v>21</v>
      </c>
      <c r="B22" s="244">
        <v>0.003530092592592592</v>
      </c>
      <c r="C22" s="67">
        <f t="shared" si="1"/>
        <v>0.07476851851851853</v>
      </c>
      <c r="H22" s="21">
        <v>20</v>
      </c>
      <c r="I22" s="22">
        <v>0.005960648148148149</v>
      </c>
      <c r="J22" s="22">
        <f t="shared" si="0"/>
        <v>0.003704566903758949</v>
      </c>
      <c r="K22" s="68">
        <f t="shared" si="3"/>
        <v>0.11811342592592594</v>
      </c>
    </row>
    <row r="23" spans="1:11" ht="12" customHeight="1">
      <c r="A23" s="249">
        <v>21.096</v>
      </c>
      <c r="B23" s="250">
        <v>0.003530092592592592</v>
      </c>
      <c r="C23" s="251">
        <f>+B23/1000*96+C22</f>
        <v>0.07510740740740741</v>
      </c>
      <c r="D23" s="20"/>
      <c r="E23" s="23"/>
      <c r="F23" s="66"/>
      <c r="H23" s="17">
        <v>21</v>
      </c>
      <c r="I23" s="19">
        <v>0.006018518518518518</v>
      </c>
      <c r="J23" s="19">
        <f t="shared" si="0"/>
        <v>0.0037405335727274816</v>
      </c>
      <c r="K23" s="67">
        <f t="shared" si="3"/>
        <v>0.12413194444444446</v>
      </c>
    </row>
    <row r="24" spans="1:11" ht="12" customHeight="1">
      <c r="A24" s="17">
        <v>22</v>
      </c>
      <c r="B24" s="244">
        <v>0.003530092592592592</v>
      </c>
      <c r="C24" s="67">
        <f>+B24+C22</f>
        <v>0.07829861111111112</v>
      </c>
      <c r="H24" s="17">
        <v>22</v>
      </c>
      <c r="I24" s="19">
        <v>0.006018518518518518</v>
      </c>
      <c r="J24" s="19">
        <f t="shared" si="0"/>
        <v>0.0037405335727274816</v>
      </c>
      <c r="K24" s="67">
        <f t="shared" si="3"/>
        <v>0.13015046296296298</v>
      </c>
    </row>
    <row r="25" spans="1:11" ht="12" customHeight="1">
      <c r="A25" s="17">
        <v>23</v>
      </c>
      <c r="B25" s="244">
        <v>0.003530092592592592</v>
      </c>
      <c r="C25" s="67">
        <f t="shared" si="1"/>
        <v>0.08182870370370372</v>
      </c>
      <c r="H25" s="17">
        <v>23</v>
      </c>
      <c r="I25" s="19">
        <v>0.006076388888888889</v>
      </c>
      <c r="J25" s="19">
        <f t="shared" si="0"/>
        <v>0.0037765002416960155</v>
      </c>
      <c r="K25" s="67">
        <f t="shared" si="3"/>
        <v>0.13622685185185188</v>
      </c>
    </row>
    <row r="26" spans="1:11" ht="12" customHeight="1">
      <c r="A26" s="17">
        <v>24</v>
      </c>
      <c r="B26" s="244">
        <v>0.003530092592592592</v>
      </c>
      <c r="C26" s="67">
        <f t="shared" si="1"/>
        <v>0.08535879629629632</v>
      </c>
      <c r="H26" s="17">
        <v>24</v>
      </c>
      <c r="I26" s="19">
        <v>0.006076388888888889</v>
      </c>
      <c r="J26" s="19">
        <f t="shared" si="0"/>
        <v>0.0037765002416960155</v>
      </c>
      <c r="K26" s="67">
        <f t="shared" si="3"/>
        <v>0.14230324074074077</v>
      </c>
    </row>
    <row r="27" spans="1:11" ht="12" customHeight="1">
      <c r="A27" s="246">
        <v>25</v>
      </c>
      <c r="B27" s="247">
        <v>0.003587962962962963</v>
      </c>
      <c r="C27" s="248">
        <f t="shared" si="1"/>
        <v>0.08894675925925928</v>
      </c>
      <c r="H27" s="21">
        <v>25</v>
      </c>
      <c r="I27" s="22">
        <v>0.006076388888888889</v>
      </c>
      <c r="J27" s="22">
        <f t="shared" si="0"/>
        <v>0.0037765002416960155</v>
      </c>
      <c r="K27" s="68">
        <f t="shared" si="3"/>
        <v>0.14837962962962967</v>
      </c>
    </row>
    <row r="28" spans="1:11" ht="12" customHeight="1">
      <c r="A28" s="17">
        <v>26</v>
      </c>
      <c r="B28" s="244">
        <v>0.003587962962962963</v>
      </c>
      <c r="C28" s="67">
        <f t="shared" si="1"/>
        <v>0.09253472222222224</v>
      </c>
      <c r="H28" s="95">
        <f>+A45/1.609</f>
        <v>26.22436295835923</v>
      </c>
      <c r="I28" s="19">
        <v>0.006076388888888889</v>
      </c>
      <c r="J28" s="19">
        <f t="shared" si="0"/>
        <v>0.0037765002416960155</v>
      </c>
      <c r="K28" s="67">
        <f>+I28*(H28-H27)+K27</f>
        <v>0.1558193351057708</v>
      </c>
    </row>
    <row r="29" spans="1:3" ht="12" customHeight="1">
      <c r="A29" s="17">
        <v>27</v>
      </c>
      <c r="B29" s="244">
        <v>0.003587962962962963</v>
      </c>
      <c r="C29" s="67">
        <f t="shared" si="1"/>
        <v>0.0961226851851852</v>
      </c>
    </row>
    <row r="30" spans="1:3" ht="12" customHeight="1">
      <c r="A30" s="17">
        <v>28</v>
      </c>
      <c r="B30" s="244">
        <v>0.003587962962962963</v>
      </c>
      <c r="C30" s="67">
        <f t="shared" si="1"/>
        <v>0.09971064814814816</v>
      </c>
    </row>
    <row r="31" spans="1:3" ht="12" customHeight="1">
      <c r="A31" s="17">
        <v>29</v>
      </c>
      <c r="B31" s="244">
        <v>0.003587962962962963</v>
      </c>
      <c r="C31" s="67">
        <f t="shared" si="1"/>
        <v>0.10329861111111112</v>
      </c>
    </row>
    <row r="32" spans="1:3" ht="12" customHeight="1">
      <c r="A32" s="246">
        <v>30</v>
      </c>
      <c r="B32" s="247">
        <v>0.003587962962962963</v>
      </c>
      <c r="C32" s="248">
        <f t="shared" si="1"/>
        <v>0.10688657407407408</v>
      </c>
    </row>
    <row r="33" spans="1:3" ht="12" customHeight="1">
      <c r="A33" s="17">
        <v>31</v>
      </c>
      <c r="B33" s="244">
        <v>0.003587962962962963</v>
      </c>
      <c r="C33" s="69">
        <f t="shared" si="1"/>
        <v>0.11047453703703704</v>
      </c>
    </row>
    <row r="34" spans="1:3" ht="12" customHeight="1">
      <c r="A34" s="17">
        <v>32</v>
      </c>
      <c r="B34" s="244">
        <v>0.003587962962962963</v>
      </c>
      <c r="C34" s="69">
        <f t="shared" si="1"/>
        <v>0.1140625</v>
      </c>
    </row>
    <row r="35" spans="1:3" ht="12" customHeight="1">
      <c r="A35" s="17">
        <v>33</v>
      </c>
      <c r="B35" s="244">
        <v>0.003587962962962963</v>
      </c>
      <c r="C35" s="69">
        <f t="shared" si="1"/>
        <v>0.11765046296296296</v>
      </c>
    </row>
    <row r="36" spans="1:3" ht="12" customHeight="1">
      <c r="A36" s="17">
        <v>34</v>
      </c>
      <c r="B36" s="244">
        <v>0.003935185185185186</v>
      </c>
      <c r="C36" s="69">
        <f t="shared" si="1"/>
        <v>0.12158564814814814</v>
      </c>
    </row>
    <row r="37" spans="1:3" ht="12" customHeight="1">
      <c r="A37" s="246">
        <v>35</v>
      </c>
      <c r="B37" s="247">
        <v>0.0038194444444444443</v>
      </c>
      <c r="C37" s="248">
        <f t="shared" si="1"/>
        <v>0.12540509259259258</v>
      </c>
    </row>
    <row r="38" spans="1:3" ht="12" customHeight="1">
      <c r="A38" s="17">
        <v>36</v>
      </c>
      <c r="B38" s="244">
        <v>0.0037037037037037034</v>
      </c>
      <c r="C38" s="69">
        <f t="shared" si="1"/>
        <v>0.1291087962962963</v>
      </c>
    </row>
    <row r="39" spans="1:3" ht="12" customHeight="1">
      <c r="A39" s="17">
        <v>37</v>
      </c>
      <c r="B39" s="244">
        <v>0.0037037037037037034</v>
      </c>
      <c r="C39" s="69">
        <f t="shared" si="1"/>
        <v>0.1328125</v>
      </c>
    </row>
    <row r="40" spans="1:3" ht="12" customHeight="1">
      <c r="A40" s="17">
        <v>38</v>
      </c>
      <c r="B40" s="244">
        <v>0.0037037037037037034</v>
      </c>
      <c r="C40" s="69">
        <f t="shared" si="1"/>
        <v>0.1365162037037037</v>
      </c>
    </row>
    <row r="41" spans="1:3" ht="12" customHeight="1">
      <c r="A41" s="17">
        <v>39</v>
      </c>
      <c r="B41" s="244">
        <v>0.0037037037037037034</v>
      </c>
      <c r="C41" s="69">
        <f t="shared" si="1"/>
        <v>0.14021990740740742</v>
      </c>
    </row>
    <row r="42" spans="1:3" ht="12" customHeight="1">
      <c r="A42" s="246">
        <v>40</v>
      </c>
      <c r="B42" s="247">
        <v>0.0037037037037037034</v>
      </c>
      <c r="C42" s="248">
        <f t="shared" si="1"/>
        <v>0.14392361111111113</v>
      </c>
    </row>
    <row r="43" spans="1:3" ht="12" customHeight="1">
      <c r="A43" s="17">
        <v>41</v>
      </c>
      <c r="B43" s="244">
        <v>0.0037037037037037034</v>
      </c>
      <c r="C43" s="69">
        <f t="shared" si="1"/>
        <v>0.14762731481481484</v>
      </c>
    </row>
    <row r="44" spans="1:3" ht="12" customHeight="1">
      <c r="A44" s="17">
        <v>42</v>
      </c>
      <c r="B44" s="244">
        <v>0.003587962962962963</v>
      </c>
      <c r="C44" s="69">
        <f>+B44+C43</f>
        <v>0.1512152777777778</v>
      </c>
    </row>
    <row r="45" spans="1:3" ht="12" customHeight="1">
      <c r="A45" s="73">
        <v>42.195</v>
      </c>
      <c r="B45" s="245">
        <v>0.003472222222222222</v>
      </c>
      <c r="C45" s="74">
        <f>+B45/1000*195+C44</f>
        <v>0.15189236111111112</v>
      </c>
    </row>
    <row r="46" spans="1:3" ht="12.75" customHeight="1">
      <c r="A46" s="18"/>
      <c r="B46" s="19"/>
      <c r="C46" s="18"/>
    </row>
    <row r="47" spans="1:3" ht="12.75" customHeight="1">
      <c r="A47" s="18"/>
      <c r="B47" s="19"/>
      <c r="C47" s="18"/>
    </row>
    <row r="48" spans="1:3" ht="12.75" customHeight="1">
      <c r="A48" s="18"/>
      <c r="B48" s="19"/>
      <c r="C48" s="18"/>
    </row>
    <row r="49" spans="1:3" ht="12.75" customHeight="1">
      <c r="A49" s="18"/>
      <c r="B49" s="19"/>
      <c r="C49" s="18"/>
    </row>
  </sheetData>
  <printOptions/>
  <pageMargins left="2.79" right="0.75" top="1.59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Shoesellers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 Wochen bis New York City 2007</dc:title>
  <dc:subject/>
  <dc:creator>Al Bundy</dc:creator>
  <cp:keywords/>
  <dc:description/>
  <cp:lastModifiedBy>www.uli-sauer.de</cp:lastModifiedBy>
  <cp:lastPrinted>2007-10-30T20:28:22Z</cp:lastPrinted>
  <dcterms:created xsi:type="dcterms:W3CDTF">1999-03-16T22:30:06Z</dcterms:created>
  <dcterms:modified xsi:type="dcterms:W3CDTF">2007-11-07T23:11:36Z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