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4985" windowHeight="8730" activeTab="0"/>
  </bookViews>
  <sheets>
    <sheet name="Trainingsplan" sheetId="1" r:id="rId1"/>
    <sheet name="Analyse" sheetId="2" r:id="rId2"/>
    <sheet name="Zeitplan" sheetId="3" r:id="rId3"/>
  </sheets>
  <definedNames>
    <definedName name="_Fill" hidden="1">'Trainingsplan'!#REF!</definedName>
    <definedName name="_xlnm.Print_Area" localSheetId="0">'Trainingsplan'!$A$1:$V$22</definedName>
    <definedName name="_xlnm.Print_Area" localSheetId="2">'Zeitplan'!$A$2:$J$37</definedName>
  </definedNames>
  <calcPr fullCalcOnLoad="1"/>
</workbook>
</file>

<file path=xl/sharedStrings.xml><?xml version="1.0" encoding="utf-8"?>
<sst xmlns="http://schemas.openxmlformats.org/spreadsheetml/2006/main" count="146" uniqueCount="80">
  <si>
    <t>Ø km</t>
  </si>
  <si>
    <t>Ø miles</t>
  </si>
  <si>
    <t>Zeitplan Marathon</t>
  </si>
  <si>
    <t>MaxHF</t>
  </si>
  <si>
    <t>MRT</t>
  </si>
  <si>
    <t>TDL</t>
  </si>
  <si>
    <t>WiedL</t>
  </si>
  <si>
    <t>SchwellenL</t>
  </si>
  <si>
    <t>intensInterv</t>
  </si>
  <si>
    <t>kg</t>
  </si>
  <si>
    <t>Soll</t>
  </si>
  <si>
    <t>Mubu</t>
  </si>
  <si>
    <t>Fa = Fartlek</t>
  </si>
  <si>
    <t>W</t>
  </si>
  <si>
    <t>Anreise</t>
  </si>
  <si>
    <t>km</t>
  </si>
  <si>
    <t>Ist</t>
  </si>
  <si>
    <t>Ist kum</t>
  </si>
  <si>
    <t>Puls</t>
  </si>
  <si>
    <t>ld</t>
  </si>
  <si>
    <t>md</t>
  </si>
  <si>
    <t>TW</t>
  </si>
  <si>
    <t>week</t>
  </si>
  <si>
    <t>mo</t>
  </si>
  <si>
    <t>tu</t>
  </si>
  <si>
    <t>we</t>
  </si>
  <si>
    <t>th</t>
  </si>
  <si>
    <t>fr</t>
  </si>
  <si>
    <t>sa</t>
  </si>
  <si>
    <t>su</t>
  </si>
  <si>
    <t>plan km</t>
  </si>
  <si>
    <t>total     km</t>
  </si>
  <si>
    <t>from week 12</t>
  </si>
  <si>
    <t>Mubu°</t>
  </si>
  <si>
    <t xml:space="preserve">days = </t>
  </si>
  <si>
    <t>weeks</t>
  </si>
  <si>
    <t>to go</t>
  </si>
  <si>
    <t>training for London 2002</t>
  </si>
  <si>
    <t>updated</t>
  </si>
  <si>
    <t>from</t>
  </si>
  <si>
    <t>to</t>
  </si>
  <si>
    <t>fa</t>
  </si>
  <si>
    <t>I3</t>
  </si>
  <si>
    <t>Mu</t>
  </si>
  <si>
    <t>ld°</t>
  </si>
  <si>
    <t>Werl 15 (62:44)</t>
  </si>
  <si>
    <t>°md</t>
  </si>
  <si>
    <t xml:space="preserve"> ° = 30min Rad mit Sauerstoff (meine Geheimwaffe)</t>
  </si>
  <si>
    <t>Mubu = Muckibude/gym</t>
  </si>
  <si>
    <t>TW = Trainingswettkampf/race attempt</t>
  </si>
  <si>
    <t>schedule = 3:30-plan by www.berlin-marathon.de</t>
  </si>
  <si>
    <t>°Mu</t>
  </si>
  <si>
    <t>°</t>
  </si>
  <si>
    <t>Apeldoorn (2:09)</t>
  </si>
  <si>
    <t>Sehnenverletzung                  tendon injured</t>
  </si>
  <si>
    <t>I 8</t>
  </si>
  <si>
    <t>Bertlich HM (94:34)</t>
  </si>
  <si>
    <t>Versmlg.</t>
  </si>
  <si>
    <t>rest needed</t>
  </si>
  <si>
    <t>Salzuflen 34 (2:59)</t>
  </si>
  <si>
    <t>I 6°</t>
  </si>
  <si>
    <t>I 2°</t>
  </si>
  <si>
    <t>I 8 = 8x1km 4:45 Laufband  I 2 = 3x2km 4:20   I 3 = 3x4km  MRT   I 4 = 3x5km MRT</t>
  </si>
  <si>
    <t>travel</t>
  </si>
  <si>
    <t>recovery</t>
  </si>
  <si>
    <t>LD</t>
  </si>
  <si>
    <t>MD (GA 1)</t>
  </si>
  <si>
    <t>SD (GA2)</t>
  </si>
  <si>
    <t>I3°</t>
  </si>
  <si>
    <t>Sylt 33 (2:41)</t>
  </si>
  <si>
    <t>krank/ill</t>
  </si>
  <si>
    <t>krank / ill</t>
  </si>
  <si>
    <t>the knee !</t>
  </si>
  <si>
    <t>time table</t>
  </si>
  <si>
    <t>finish time in minutes</t>
  </si>
  <si>
    <t>hours</t>
  </si>
  <si>
    <t>minutes</t>
  </si>
  <si>
    <t>miles</t>
  </si>
  <si>
    <t>Km</t>
  </si>
  <si>
    <t>daytime</t>
  </si>
</sst>
</file>

<file path=xl/styles.xml><?xml version="1.0" encoding="utf-8"?>
<styleSheet xmlns="http://schemas.openxmlformats.org/spreadsheetml/2006/main">
  <numFmts count="2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_)"/>
    <numFmt numFmtId="165" formatCode="dd/mm/yy_)"/>
    <numFmt numFmtId="166" formatCode="#,##0.0_);\(#,##0.0\)"/>
    <numFmt numFmtId="167" formatCode="#,##0.000_);\(#,##0.000\)"/>
    <numFmt numFmtId="168" formatCode="#,##0.00_);\(#,##0.00\)"/>
    <numFmt numFmtId="169" formatCode="#,##0_);\(#,##0\)"/>
    <numFmt numFmtId="170" formatCode="0.000"/>
    <numFmt numFmtId="171" formatCode="0.0"/>
    <numFmt numFmtId="172" formatCode="0.00000"/>
    <numFmt numFmtId="173" formatCode="0.0000"/>
    <numFmt numFmtId="174" formatCode="0.0_ ;\-0.0\ "/>
    <numFmt numFmtId="175" formatCode="0.0%"/>
    <numFmt numFmtId="176" formatCode="00"/>
    <numFmt numFmtId="177" formatCode="d/m/yy\ h:mm"/>
    <numFmt numFmtId="178" formatCode="h:mm"/>
    <numFmt numFmtId="179" formatCode="0.0000000"/>
    <numFmt numFmtId="180" formatCode="0.000000"/>
    <numFmt numFmtId="181" formatCode="0.00000000"/>
    <numFmt numFmtId="182" formatCode="0.000000000"/>
    <numFmt numFmtId="183" formatCode=";;;"/>
  </numFmts>
  <fonts count="33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MT"/>
      <family val="2"/>
    </font>
    <font>
      <sz val="10"/>
      <color indexed="8"/>
      <name val="Arial MT"/>
      <family val="0"/>
    </font>
    <font>
      <sz val="10"/>
      <name val="Arial MT"/>
      <family val="0"/>
    </font>
    <font>
      <sz val="8"/>
      <name val="Arial"/>
      <family val="2"/>
    </font>
    <font>
      <sz val="9.25"/>
      <name val="Arial"/>
      <family val="2"/>
    </font>
    <font>
      <sz val="10.5"/>
      <name val="Arial"/>
      <family val="0"/>
    </font>
    <font>
      <b/>
      <sz val="12"/>
      <color indexed="18"/>
      <name val="Arial MT"/>
      <family val="0"/>
    </font>
    <font>
      <b/>
      <sz val="12"/>
      <color indexed="16"/>
      <name val="Arial MT"/>
      <family val="0"/>
    </font>
    <font>
      <b/>
      <sz val="10"/>
      <name val="Arial"/>
      <family val="2"/>
    </font>
    <font>
      <sz val="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8"/>
      <name val="Arial MT"/>
      <family val="0"/>
    </font>
    <font>
      <b/>
      <sz val="10"/>
      <color indexed="8"/>
      <name val="Arial MT"/>
      <family val="0"/>
    </font>
    <font>
      <sz val="23.75"/>
      <name val="Arial"/>
      <family val="0"/>
    </font>
    <font>
      <sz val="10.75"/>
      <name val="Arial"/>
      <family val="2"/>
    </font>
    <font>
      <b/>
      <sz val="10.75"/>
      <name val="Arial"/>
      <family val="2"/>
    </font>
    <font>
      <b/>
      <sz val="10.75"/>
      <color indexed="36"/>
      <name val="Arial"/>
      <family val="2"/>
    </font>
    <font>
      <b/>
      <sz val="9.75"/>
      <color indexed="36"/>
      <name val="Arial"/>
      <family val="2"/>
    </font>
    <font>
      <sz val="9.75"/>
      <name val="Arial"/>
      <family val="2"/>
    </font>
    <font>
      <sz val="12"/>
      <name val="Arial"/>
      <family val="2"/>
    </font>
    <font>
      <b/>
      <sz val="10"/>
      <color indexed="10"/>
      <name val="Arial MT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8"/>
      <color indexed="8"/>
      <name val="Arial MT"/>
      <family val="0"/>
    </font>
    <font>
      <sz val="8"/>
      <color indexed="8"/>
      <name val="Arial MT"/>
      <family val="0"/>
    </font>
    <font>
      <b/>
      <sz val="11.75"/>
      <name val="Arial"/>
      <family val="2"/>
    </font>
    <font>
      <b/>
      <sz val="11.75"/>
      <color indexed="18"/>
      <name val="Arial"/>
      <family val="2"/>
    </font>
    <font>
      <b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8" fontId="0" fillId="0" borderId="4" xfId="0" applyNumberFormat="1" applyBorder="1" applyAlignment="1" applyProtection="1">
      <alignment/>
      <protection/>
    </xf>
    <xf numFmtId="168" fontId="0" fillId="0" borderId="5" xfId="0" applyNumberFormat="1" applyBorder="1" applyAlignment="1" applyProtection="1">
      <alignment/>
      <protection/>
    </xf>
    <xf numFmtId="166" fontId="0" fillId="0" borderId="6" xfId="0" applyNumberFormat="1" applyBorder="1" applyAlignment="1">
      <alignment/>
    </xf>
    <xf numFmtId="46" fontId="0" fillId="0" borderId="4" xfId="0" applyNumberFormat="1" applyBorder="1" applyAlignment="1" applyProtection="1">
      <alignment/>
      <protection/>
    </xf>
    <xf numFmtId="46" fontId="0" fillId="0" borderId="7" xfId="0" applyNumberFormat="1" applyBorder="1" applyAlignment="1" applyProtection="1">
      <alignment/>
      <protection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24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right"/>
    </xf>
    <xf numFmtId="178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/>
    </xf>
    <xf numFmtId="171" fontId="0" fillId="2" borderId="0" xfId="0" applyNumberFormat="1" applyFont="1" applyFill="1" applyAlignment="1">
      <alignment horizontal="center"/>
    </xf>
    <xf numFmtId="171" fontId="15" fillId="2" borderId="0" xfId="0" applyNumberFormat="1" applyFont="1" applyFill="1" applyAlignment="1">
      <alignment/>
    </xf>
    <xf numFmtId="0" fontId="1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71" fontId="5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173" fontId="10" fillId="2" borderId="0" xfId="0" applyNumberFormat="1" applyFont="1" applyFill="1" applyAlignment="1">
      <alignment horizont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12" fillId="2" borderId="8" xfId="0" applyFont="1" applyFill="1" applyBorder="1" applyAlignment="1">
      <alignment horizontal="centerContinuous" vertical="center" wrapText="1"/>
    </xf>
    <xf numFmtId="0" fontId="12" fillId="2" borderId="10" xfId="0" applyFont="1" applyFill="1" applyBorder="1" applyAlignment="1">
      <alignment horizontal="centerContinuous" vertical="center" wrapText="1"/>
    </xf>
    <xf numFmtId="0" fontId="5" fillId="2" borderId="11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66" fontId="0" fillId="2" borderId="0" xfId="0" applyNumberFormat="1" applyFont="1" applyFill="1" applyAlignment="1">
      <alignment/>
    </xf>
    <xf numFmtId="171" fontId="5" fillId="2" borderId="0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171" fontId="0" fillId="2" borderId="0" xfId="0" applyNumberFormat="1" applyFont="1" applyFill="1" applyAlignment="1">
      <alignment/>
    </xf>
    <xf numFmtId="171" fontId="4" fillId="2" borderId="1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12" fillId="2" borderId="0" xfId="0" applyFont="1" applyFill="1" applyBorder="1" applyAlignment="1" quotePrefix="1">
      <alignment horizontal="center"/>
    </xf>
    <xf numFmtId="0" fontId="5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11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/>
    </xf>
    <xf numFmtId="1" fontId="5" fillId="2" borderId="15" xfId="0" applyNumberFormat="1" applyFont="1" applyFill="1" applyBorder="1" applyAlignment="1">
      <alignment/>
    </xf>
    <xf numFmtId="175" fontId="12" fillId="2" borderId="14" xfId="19" applyNumberFormat="1" applyFont="1" applyFill="1" applyBorder="1" applyAlignment="1">
      <alignment/>
    </xf>
    <xf numFmtId="175" fontId="12" fillId="2" borderId="15" xfId="19" applyNumberFormat="1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14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12" fillId="2" borderId="16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1" fontId="5" fillId="2" borderId="16" xfId="0" applyNumberFormat="1" applyFont="1" applyFill="1" applyBorder="1" applyAlignment="1">
      <alignment/>
    </xf>
    <xf numFmtId="1" fontId="5" fillId="2" borderId="18" xfId="0" applyNumberFormat="1" applyFont="1" applyFill="1" applyBorder="1" applyAlignment="1">
      <alignment/>
    </xf>
    <xf numFmtId="175" fontId="12" fillId="2" borderId="16" xfId="19" applyNumberFormat="1" applyFont="1" applyFill="1" applyBorder="1" applyAlignment="1">
      <alignment/>
    </xf>
    <xf numFmtId="175" fontId="12" fillId="2" borderId="18" xfId="19" applyNumberFormat="1" applyFont="1" applyFill="1" applyBorder="1" applyAlignment="1">
      <alignment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4" fillId="4" borderId="20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166" fontId="12" fillId="4" borderId="22" xfId="0" applyNumberFormat="1" applyFont="1" applyFill="1" applyBorder="1" applyAlignment="1" applyProtection="1">
      <alignment/>
      <protection/>
    </xf>
    <xf numFmtId="166" fontId="15" fillId="3" borderId="6" xfId="0" applyNumberFormat="1" applyFont="1" applyFill="1" applyBorder="1" applyAlignment="1" applyProtection="1">
      <alignment/>
      <protection/>
    </xf>
    <xf numFmtId="169" fontId="15" fillId="3" borderId="8" xfId="0" applyNumberFormat="1" applyFont="1" applyFill="1" applyBorder="1" applyAlignment="1" applyProtection="1">
      <alignment horizontal="center"/>
      <protection/>
    </xf>
    <xf numFmtId="14" fontId="16" fillId="3" borderId="23" xfId="0" applyNumberFormat="1" applyFont="1" applyFill="1" applyBorder="1" applyAlignment="1" applyProtection="1">
      <alignment horizontal="center"/>
      <protection/>
    </xf>
    <xf numFmtId="14" fontId="16" fillId="3" borderId="9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4" fontId="16" fillId="3" borderId="8" xfId="0" applyNumberFormat="1" applyFont="1" applyFill="1" applyBorder="1" applyAlignment="1" applyProtection="1">
      <alignment horizontal="center"/>
      <protection/>
    </xf>
    <xf numFmtId="166" fontId="25" fillId="3" borderId="9" xfId="0" applyNumberFormat="1" applyFont="1" applyFill="1" applyBorder="1" applyAlignment="1" applyProtection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166" fontId="15" fillId="3" borderId="6" xfId="0" applyNumberFormat="1" applyFont="1" applyFill="1" applyBorder="1" applyAlignment="1" applyProtection="1">
      <alignment horizontal="center"/>
      <protection/>
    </xf>
    <xf numFmtId="171" fontId="4" fillId="2" borderId="18" xfId="0" applyNumberFormat="1" applyFont="1" applyFill="1" applyBorder="1" applyAlignment="1">
      <alignment/>
    </xf>
    <xf numFmtId="166" fontId="15" fillId="3" borderId="25" xfId="0" applyNumberFormat="1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>
      <alignment horizontal="center"/>
    </xf>
    <xf numFmtId="171" fontId="4" fillId="2" borderId="27" xfId="0" applyNumberFormat="1" applyFont="1" applyFill="1" applyBorder="1" applyAlignment="1">
      <alignment/>
    </xf>
    <xf numFmtId="169" fontId="15" fillId="3" borderId="25" xfId="0" applyNumberFormat="1" applyFont="1" applyFill="1" applyBorder="1" applyAlignment="1" applyProtection="1">
      <alignment horizontal="center"/>
      <protection/>
    </xf>
    <xf numFmtId="14" fontId="16" fillId="3" borderId="25" xfId="0" applyNumberFormat="1" applyFont="1" applyFill="1" applyBorder="1" applyAlignment="1" applyProtection="1">
      <alignment horizontal="center"/>
      <protection/>
    </xf>
    <xf numFmtId="166" fontId="15" fillId="3" borderId="2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right"/>
      <protection/>
    </xf>
    <xf numFmtId="166" fontId="15" fillId="3" borderId="28" xfId="0" applyNumberFormat="1" applyFont="1" applyFill="1" applyBorder="1" applyAlignment="1" applyProtection="1">
      <alignment horizontal="right"/>
      <protection/>
    </xf>
    <xf numFmtId="169" fontId="15" fillId="3" borderId="6" xfId="0" applyNumberFormat="1" applyFont="1" applyFill="1" applyBorder="1" applyAlignment="1" applyProtection="1">
      <alignment horizontal="center"/>
      <protection/>
    </xf>
    <xf numFmtId="14" fontId="16" fillId="3" borderId="6" xfId="0" applyNumberFormat="1" applyFont="1" applyFill="1" applyBorder="1" applyAlignment="1" applyProtection="1">
      <alignment horizontal="center"/>
      <protection/>
    </xf>
    <xf numFmtId="166" fontId="15" fillId="3" borderId="29" xfId="0" applyNumberFormat="1" applyFont="1" applyFill="1" applyBorder="1" applyAlignment="1" applyProtection="1">
      <alignment horizontal="center"/>
      <protection/>
    </xf>
    <xf numFmtId="166" fontId="15" fillId="3" borderId="6" xfId="0" applyNumberFormat="1" applyFont="1" applyFill="1" applyBorder="1" applyAlignment="1" applyProtection="1" quotePrefix="1">
      <alignment horizontal="center"/>
      <protection/>
    </xf>
    <xf numFmtId="166" fontId="15" fillId="3" borderId="8" xfId="0" applyNumberFormat="1" applyFont="1" applyFill="1" applyBorder="1" applyAlignment="1" applyProtection="1" quotePrefix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25" fillId="3" borderId="29" xfId="0" applyNumberFormat="1" applyFont="1" applyFill="1" applyBorder="1" applyAlignment="1" applyProtection="1">
      <alignment horizontal="center"/>
      <protection/>
    </xf>
    <xf numFmtId="0" fontId="15" fillId="2" borderId="14" xfId="0" applyFont="1" applyFill="1" applyBorder="1" applyAlignment="1">
      <alignment/>
    </xf>
    <xf numFmtId="169" fontId="17" fillId="3" borderId="8" xfId="0" applyNumberFormat="1" applyFont="1" applyFill="1" applyBorder="1" applyAlignment="1" applyProtection="1">
      <alignment horizontal="center"/>
      <protection/>
    </xf>
    <xf numFmtId="14" fontId="28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 quotePrefix="1">
      <alignment horizontal="center"/>
      <protection/>
    </xf>
    <xf numFmtId="0" fontId="29" fillId="2" borderId="30" xfId="0" applyFont="1" applyFill="1" applyBorder="1" applyAlignment="1">
      <alignment/>
    </xf>
    <xf numFmtId="169" fontId="12" fillId="2" borderId="1" xfId="0" applyNumberFormat="1" applyFont="1" applyFill="1" applyBorder="1" applyAlignment="1" applyProtection="1">
      <alignment/>
      <protection/>
    </xf>
    <xf numFmtId="0" fontId="5" fillId="2" borderId="31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6" fontId="0" fillId="0" borderId="35" xfId="0" applyNumberFormat="1" applyBorder="1" applyAlignment="1" applyProtection="1">
      <alignment/>
      <protection/>
    </xf>
    <xf numFmtId="168" fontId="0" fillId="0" borderId="36" xfId="0" applyNumberFormat="1" applyBorder="1" applyAlignment="1" applyProtection="1">
      <alignment/>
      <protection/>
    </xf>
    <xf numFmtId="46" fontId="0" fillId="0" borderId="37" xfId="0" applyNumberForma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46" fontId="0" fillId="0" borderId="39" xfId="0" applyNumberFormat="1" applyBorder="1" applyAlignment="1" applyProtection="1">
      <alignment/>
      <protection/>
    </xf>
    <xf numFmtId="168" fontId="0" fillId="0" borderId="40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181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2" fontId="0" fillId="0" borderId="41" xfId="0" applyNumberFormat="1" applyBorder="1" applyAlignment="1">
      <alignment/>
    </xf>
    <xf numFmtId="46" fontId="0" fillId="0" borderId="42" xfId="0" applyNumberFormat="1" applyBorder="1" applyAlignment="1" applyProtection="1">
      <alignment/>
      <protection/>
    </xf>
    <xf numFmtId="46" fontId="0" fillId="0" borderId="43" xfId="0" applyNumberFormat="1" applyBorder="1" applyAlignment="1" applyProtection="1">
      <alignment/>
      <protection/>
    </xf>
    <xf numFmtId="46" fontId="0" fillId="0" borderId="44" xfId="0" applyNumberFormat="1" applyBorder="1" applyAlignment="1" applyProtection="1">
      <alignment/>
      <protection/>
    </xf>
    <xf numFmtId="46" fontId="0" fillId="0" borderId="45" xfId="0" applyNumberFormat="1" applyBorder="1" applyAlignment="1" applyProtection="1">
      <alignment/>
      <protection/>
    </xf>
    <xf numFmtId="0" fontId="0" fillId="0" borderId="41" xfId="0" applyBorder="1" applyAlignment="1">
      <alignment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46" fontId="0" fillId="0" borderId="46" xfId="0" applyNumberFormat="1" applyBorder="1" applyAlignment="1" applyProtection="1">
      <alignment/>
      <protection/>
    </xf>
    <xf numFmtId="168" fontId="0" fillId="0" borderId="2" xfId="0" applyNumberFormat="1" applyBorder="1" applyAlignment="1" applyProtection="1">
      <alignment/>
      <protection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5" fillId="3" borderId="47" xfId="0" applyNumberFormat="1" applyFont="1" applyFill="1" applyBorder="1" applyAlignment="1" applyProtection="1">
      <alignment horizontal="center"/>
      <protection/>
    </xf>
    <xf numFmtId="166" fontId="25" fillId="3" borderId="48" xfId="0" applyNumberFormat="1" applyFont="1" applyFill="1" applyBorder="1" applyAlignment="1" applyProtection="1">
      <alignment horizontal="center"/>
      <protection/>
    </xf>
    <xf numFmtId="0" fontId="17" fillId="3" borderId="29" xfId="0" applyFont="1" applyFill="1" applyBorder="1" applyAlignment="1">
      <alignment horizontal="centerContinuous"/>
    </xf>
    <xf numFmtId="166" fontId="17" fillId="3" borderId="49" xfId="0" applyNumberFormat="1" applyFont="1" applyFill="1" applyBorder="1" applyAlignment="1" applyProtection="1" quotePrefix="1">
      <alignment horizontal="center"/>
      <protection/>
    </xf>
    <xf numFmtId="0" fontId="17" fillId="3" borderId="13" xfId="0" applyFont="1" applyFill="1" applyBorder="1" applyAlignment="1">
      <alignment horizontal="centerContinuous"/>
    </xf>
    <xf numFmtId="166" fontId="15" fillId="3" borderId="8" xfId="0" applyNumberFormat="1" applyFont="1" applyFill="1" applyBorder="1" applyAlignment="1" applyProtection="1">
      <alignment horizontal="center"/>
      <protection/>
    </xf>
    <xf numFmtId="166" fontId="15" fillId="3" borderId="9" xfId="0" applyNumberFormat="1" applyFont="1" applyFill="1" applyBorder="1" applyAlignment="1" applyProtection="1">
      <alignment horizontal="center"/>
      <protection/>
    </xf>
    <xf numFmtId="14" fontId="5" fillId="2" borderId="0" xfId="0" applyNumberFormat="1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1" fontId="0" fillId="2" borderId="0" xfId="0" applyNumberFormat="1" applyFont="1" applyFill="1" applyAlignment="1">
      <alignment horizontal="right"/>
    </xf>
    <xf numFmtId="166" fontId="26" fillId="3" borderId="8" xfId="0" applyNumberFormat="1" applyFont="1" applyFill="1" applyBorder="1" applyAlignment="1" applyProtection="1">
      <alignment horizontal="center" vertical="center" wrapText="1"/>
      <protection/>
    </xf>
    <xf numFmtId="0" fontId="27" fillId="3" borderId="19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166" fontId="17" fillId="3" borderId="50" xfId="0" applyNumberFormat="1" applyFont="1" applyFill="1" applyBorder="1" applyAlignment="1" applyProtection="1">
      <alignment horizontal="center"/>
      <protection/>
    </xf>
    <xf numFmtId="166" fontId="17" fillId="3" borderId="52" xfId="0" applyNumberFormat="1" applyFont="1" applyFill="1" applyBorder="1" applyAlignment="1" applyProtection="1">
      <alignment horizontal="center"/>
      <protection/>
    </xf>
    <xf numFmtId="166" fontId="16" fillId="3" borderId="8" xfId="0" applyNumberFormat="1" applyFont="1" applyFill="1" applyBorder="1" applyAlignment="1" applyProtection="1">
      <alignment horizontal="center"/>
      <protection/>
    </xf>
    <xf numFmtId="166" fontId="16" fillId="3" borderId="9" xfId="0" applyNumberFormat="1" applyFont="1" applyFill="1" applyBorder="1" applyAlignment="1" applyProtection="1">
      <alignment horizontal="center"/>
      <protection/>
    </xf>
    <xf numFmtId="166" fontId="17" fillId="3" borderId="8" xfId="0" applyNumberFormat="1" applyFont="1" applyFill="1" applyBorder="1" applyAlignment="1" applyProtection="1">
      <alignment horizontal="center"/>
      <protection/>
    </xf>
    <xf numFmtId="166" fontId="17" fillId="3" borderId="9" xfId="0" applyNumberFormat="1" applyFont="1" applyFill="1" applyBorder="1" applyAlignment="1" applyProtection="1">
      <alignment horizontal="center"/>
      <protection/>
    </xf>
    <xf numFmtId="166" fontId="15" fillId="3" borderId="19" xfId="0" applyNumberFormat="1" applyFont="1" applyFill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53" xfId="0" applyBorder="1" applyAlignment="1">
      <alignment horizontal="right"/>
    </xf>
    <xf numFmtId="20" fontId="0" fillId="0" borderId="44" xfId="0" applyNumberFormat="1" applyBorder="1" applyAlignment="1">
      <alignment/>
    </xf>
    <xf numFmtId="0" fontId="0" fillId="0" borderId="39" xfId="0" applyBorder="1" applyAlignment="1">
      <alignment/>
    </xf>
    <xf numFmtId="0" fontId="9" fillId="0" borderId="39" xfId="0" applyFont="1" applyFill="1" applyBorder="1" applyAlignment="1">
      <alignment/>
    </xf>
    <xf numFmtId="168" fontId="0" fillId="0" borderId="54" xfId="0" applyNumberFormat="1" applyBorder="1" applyAlignment="1" applyProtection="1">
      <alignment/>
      <protection/>
    </xf>
    <xf numFmtId="168" fontId="0" fillId="0" borderId="55" xfId="0" applyNumberFormat="1" applyBorder="1" applyAlignment="1" applyProtection="1">
      <alignment/>
      <protection/>
    </xf>
    <xf numFmtId="168" fontId="0" fillId="0" borderId="56" xfId="0" applyNumberFormat="1" applyBorder="1" applyAlignment="1" applyProtection="1">
      <alignment/>
      <protection/>
    </xf>
    <xf numFmtId="168" fontId="0" fillId="0" borderId="7" xfId="0" applyNumberFormat="1" applyBorder="1" applyAlignment="1" applyProtection="1">
      <alignment/>
      <protection/>
    </xf>
    <xf numFmtId="170" fontId="0" fillId="0" borderId="33" xfId="0" applyNumberFormat="1" applyBorder="1" applyAlignment="1">
      <alignment/>
    </xf>
    <xf numFmtId="170" fontId="0" fillId="0" borderId="17" xfId="0" applyNumberFormat="1" applyBorder="1" applyAlignment="1">
      <alignment/>
    </xf>
    <xf numFmtId="2" fontId="0" fillId="0" borderId="57" xfId="0" applyNumberFormat="1" applyBorder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v>plan/done</c:v>
          </c:tx>
          <c:spPr>
            <a:pattFill prst="wdUpDiag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7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8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dPt>
            <c:idx val="19"/>
            <c:invertIfNegative val="0"/>
            <c:spPr>
              <a:pattFill prst="wdUpDiag">
                <a:fgClr>
                  <a:srgbClr val="FFFFFF"/>
                </a:fgClr>
                <a:bgClr>
                  <a:srgbClr val="C0C0C0"/>
                </a:bgClr>
              </a:pattFill>
            </c:spPr>
          </c:dPt>
          <c:cat>
            <c:numRef>
              <c:f>Trainingsplan!$B$5:$B$20</c:f>
              <c:numCache/>
            </c:numRef>
          </c:cat>
          <c:val>
            <c:numRef>
              <c:f>Trainingsplan!$S$5:$S$20</c:f>
              <c:numCache/>
            </c:numRef>
          </c:val>
        </c:ser>
        <c:ser>
          <c:idx val="2"/>
          <c:order val="2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Trainingsplan!$B$5:$B$20</c:f>
              <c:numCache/>
            </c:numRef>
          </c:cat>
          <c:val>
            <c:numRef>
              <c:f>Trainingsplan!$T$5:$T$20</c:f>
              <c:numCache/>
            </c:numRef>
          </c:val>
        </c:ser>
        <c:axId val="35774601"/>
        <c:axId val="53535954"/>
      </c:barChart>
      <c:lineChart>
        <c:grouping val="standard"/>
        <c:varyColors val="0"/>
        <c:ser>
          <c:idx val="1"/>
          <c:order val="1"/>
          <c:tx>
            <c:v>longest run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Trainingsplan!$B$5:$B$20</c:f>
              <c:numCache/>
            </c:numRef>
          </c:cat>
          <c:val>
            <c:numRef>
              <c:f>Trainingsplan!$AC$5:$AC$20</c:f>
              <c:numCache/>
            </c:numRef>
          </c:val>
          <c:smooth val="0"/>
        </c:ser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535954"/>
        <c:crosses val="autoZero"/>
        <c:auto val="1"/>
        <c:lblOffset val="100"/>
        <c:noMultiLvlLbl val="0"/>
      </c:catAx>
      <c:valAx>
        <c:axId val="53535954"/>
        <c:scaling>
          <c:orientation val="minMax"/>
          <c:max val="9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577460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125"/>
          <c:y val="0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925"/>
          <c:w val="0.98175"/>
          <c:h val="0.9615"/>
        </c:manualLayout>
      </c:layout>
      <c:lineChart>
        <c:grouping val="standard"/>
        <c:varyColors val="0"/>
        <c:ser>
          <c:idx val="0"/>
          <c:order val="0"/>
          <c:tx>
            <c:v>Tempo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Analyse!$C$30:$C$56</c:f>
              <c:numCache/>
            </c:numRef>
          </c:val>
          <c:smooth val="0"/>
        </c:ser>
        <c:ser>
          <c:idx val="1"/>
          <c:order val="1"/>
          <c:tx>
            <c:v>kum. Tempo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Analyse!$E$30:$E$56</c:f>
              <c:numCache/>
            </c:numRef>
          </c:val>
          <c:smooth val="0"/>
        </c:ser>
        <c:ser>
          <c:idx val="2"/>
          <c:order val="2"/>
          <c:tx>
            <c:v>Soll-Tempo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0" u="none" baseline="0">
                        <a:solidFill>
                          <a:srgbClr val="800080"/>
                        </a:solidFill>
                      </a:rPr>
                      <a:t>Soll-Zeit= 07:56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Analyse!$A$30:$A$56</c:f>
              <c:numCache/>
            </c:numRef>
          </c:cat>
          <c:val>
            <c:numRef>
              <c:f>Analyse!$B$30:$B$56</c:f>
              <c:numCache/>
            </c:numRef>
          </c:val>
          <c:smooth val="1"/>
        </c:ser>
        <c:marker val="1"/>
        <c:axId val="12061539"/>
        <c:axId val="41444988"/>
      </c:lineChart>
      <c:lineChart>
        <c:grouping val="standard"/>
        <c:varyColors val="0"/>
        <c:ser>
          <c:idx val="3"/>
          <c:order val="3"/>
          <c:tx>
            <c:v>Puls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80008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008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Analyse!$F$30:$F$56</c:f>
              <c:numCache/>
            </c:numRef>
          </c:val>
          <c:smooth val="0"/>
        </c:ser>
        <c:marker val="1"/>
        <c:axId val="37460573"/>
        <c:axId val="1600838"/>
      </c:lineChart>
      <c:catAx>
        <c:axId val="12061539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444988"/>
        <c:crossesAt val="0.002777778"/>
        <c:auto val="1"/>
        <c:lblOffset val="100"/>
        <c:noMultiLvlLbl val="0"/>
      </c:catAx>
      <c:valAx>
        <c:axId val="41444988"/>
        <c:scaling>
          <c:orientation val="minMax"/>
          <c:max val="0.00625"/>
          <c:min val="0.00486111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12061539"/>
        <c:crossesAt val="1"/>
        <c:crossBetween val="midCat"/>
        <c:dispUnits/>
        <c:majorUnit val="0.000347222"/>
        <c:minorUnit val="4E-05"/>
      </c:valAx>
      <c:catAx>
        <c:axId val="37460573"/>
        <c:scaling>
          <c:orientation val="minMax"/>
        </c:scaling>
        <c:axPos val="b"/>
        <c:delete val="1"/>
        <c:majorTickMark val="in"/>
        <c:minorTickMark val="none"/>
        <c:tickLblPos val="nextTo"/>
        <c:crossAx val="1600838"/>
        <c:crossesAt val="125"/>
        <c:auto val="1"/>
        <c:lblOffset val="100"/>
        <c:noMultiLvlLbl val="0"/>
      </c:catAx>
      <c:valAx>
        <c:axId val="1600838"/>
        <c:scaling>
          <c:orientation val="minMax"/>
          <c:max val="190"/>
          <c:min val="12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0" i="0" u="none" baseline="0"/>
            </a:pPr>
          </a:p>
        </c:txPr>
        <c:crossAx val="37460573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08625"/>
          <c:y val="0.0467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2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28575</xdr:rowOff>
    </xdr:from>
    <xdr:to>
      <xdr:col>17</xdr:col>
      <xdr:colOff>190500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104775" y="4467225"/>
        <a:ext cx="5829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12</xdr:col>
      <xdr:colOff>361950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7150" y="47625"/>
        <a:ext cx="94011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P48"/>
  <sheetViews>
    <sheetView tabSelected="1" workbookViewId="0" topLeftCell="A1">
      <selection activeCell="A1" sqref="A1"/>
    </sheetView>
  </sheetViews>
  <sheetFormatPr defaultColWidth="9.77734375" defaultRowHeight="15"/>
  <cols>
    <col min="1" max="1" width="1.2265625" style="16" customWidth="1"/>
    <col min="2" max="2" width="3.10546875" style="17" customWidth="1"/>
    <col min="3" max="4" width="5.77734375" style="16" customWidth="1"/>
    <col min="5" max="5" width="4.77734375" style="16" customWidth="1"/>
    <col min="6" max="6" width="2.77734375" style="17" customWidth="1"/>
    <col min="7" max="7" width="4.77734375" style="16" customWidth="1"/>
    <col min="8" max="8" width="3.77734375" style="17" customWidth="1"/>
    <col min="9" max="9" width="4.77734375" style="16" customWidth="1"/>
    <col min="10" max="10" width="2.77734375" style="17" customWidth="1"/>
    <col min="11" max="11" width="4.77734375" style="16" customWidth="1"/>
    <col min="12" max="12" width="2.77734375" style="17" customWidth="1"/>
    <col min="13" max="13" width="4.77734375" style="16" customWidth="1"/>
    <col min="14" max="14" width="2.77734375" style="17" customWidth="1"/>
    <col min="15" max="15" width="4.77734375" style="16" customWidth="1"/>
    <col min="16" max="16" width="2.77734375" style="17" customWidth="1"/>
    <col min="17" max="17" width="4.77734375" style="16" customWidth="1"/>
    <col min="18" max="18" width="2.77734375" style="17" customWidth="1"/>
    <col min="19" max="19" width="5.3359375" style="16" customWidth="1"/>
    <col min="20" max="20" width="3.6640625" style="16" customWidth="1"/>
    <col min="21" max="21" width="3.77734375" style="16" customWidth="1"/>
    <col min="22" max="22" width="11.10546875" style="27" customWidth="1"/>
    <col min="23" max="23" width="5.21484375" style="16" customWidth="1"/>
    <col min="24" max="24" width="5.4453125" style="16" customWidth="1"/>
    <col min="25" max="16384" width="9.77734375" style="16" customWidth="1"/>
  </cols>
  <sheetData>
    <row r="1" spans="2:22" ht="15.75">
      <c r="B1" s="15" t="s">
        <v>37</v>
      </c>
      <c r="J1" s="16"/>
      <c r="V1" s="18"/>
    </row>
    <row r="2" spans="2:27" ht="15.75">
      <c r="B2" s="18" t="s">
        <v>38</v>
      </c>
      <c r="D2" s="152">
        <f ca="1">NOW()</f>
        <v>37363.93093877315</v>
      </c>
      <c r="E2" s="152"/>
      <c r="F2" s="19"/>
      <c r="G2" s="19" t="s">
        <v>36</v>
      </c>
      <c r="H2" s="156">
        <f>TRUNC(Z2)</f>
        <v>-3</v>
      </c>
      <c r="I2" s="156"/>
      <c r="J2" s="18" t="s">
        <v>34</v>
      </c>
      <c r="K2" s="20"/>
      <c r="L2" s="21"/>
      <c r="M2" s="22">
        <f>+H2/7</f>
        <v>-0.42857142857142855</v>
      </c>
      <c r="N2" s="16" t="s">
        <v>35</v>
      </c>
      <c r="O2" s="23"/>
      <c r="P2" s="24"/>
      <c r="Q2" s="25"/>
      <c r="R2" s="26"/>
      <c r="S2" s="27"/>
      <c r="T2" s="27"/>
      <c r="V2" s="18"/>
      <c r="Z2" s="28">
        <f>DATEVALUE("14.04.2002")+AA2-D2</f>
        <v>-3.5559387731482275</v>
      </c>
      <c r="AA2" s="16">
        <f>TIMEVALUE("09:00")</f>
        <v>0.375</v>
      </c>
    </row>
    <row r="3" ht="9" customHeight="1"/>
    <row r="4" spans="2:250" ht="19.5" customHeight="1">
      <c r="B4" s="153" t="s">
        <v>22</v>
      </c>
      <c r="C4" s="154"/>
      <c r="D4" s="155"/>
      <c r="E4" s="29" t="s">
        <v>23</v>
      </c>
      <c r="F4" s="30"/>
      <c r="G4" s="29" t="s">
        <v>24</v>
      </c>
      <c r="H4" s="30"/>
      <c r="I4" s="29" t="s">
        <v>25</v>
      </c>
      <c r="J4" s="30"/>
      <c r="K4" s="29" t="s">
        <v>26</v>
      </c>
      <c r="L4" s="30"/>
      <c r="M4" s="29" t="s">
        <v>27</v>
      </c>
      <c r="N4" s="30"/>
      <c r="O4" s="29" t="s">
        <v>28</v>
      </c>
      <c r="P4" s="30"/>
      <c r="Q4" s="29" t="s">
        <v>29</v>
      </c>
      <c r="R4" s="30"/>
      <c r="S4" s="31" t="s">
        <v>31</v>
      </c>
      <c r="T4" s="32" t="s">
        <v>30</v>
      </c>
      <c r="U4" s="33" t="s">
        <v>9</v>
      </c>
      <c r="V4" s="34"/>
      <c r="X4" s="35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</row>
    <row r="5" spans="2:29" s="38" customFormat="1" ht="18" customHeight="1">
      <c r="B5" s="81">
        <v>16</v>
      </c>
      <c r="C5" s="82">
        <v>37249</v>
      </c>
      <c r="D5" s="83">
        <f>+C5+6</f>
        <v>37255</v>
      </c>
      <c r="E5" s="75"/>
      <c r="F5" s="84"/>
      <c r="G5" s="75">
        <v>16.1</v>
      </c>
      <c r="H5" s="84" t="s">
        <v>41</v>
      </c>
      <c r="I5" s="75">
        <v>12</v>
      </c>
      <c r="J5" s="84" t="s">
        <v>20</v>
      </c>
      <c r="K5" s="75">
        <v>5.5</v>
      </c>
      <c r="L5" s="84" t="s">
        <v>43</v>
      </c>
      <c r="M5" s="75">
        <v>10</v>
      </c>
      <c r="N5" s="84" t="s">
        <v>44</v>
      </c>
      <c r="O5" s="75"/>
      <c r="P5" s="99" t="s">
        <v>51</v>
      </c>
      <c r="Q5" s="75"/>
      <c r="R5" s="85" t="s">
        <v>52</v>
      </c>
      <c r="S5" s="75">
        <f aca="true" t="shared" si="0" ref="S5:S12">SUM(E5:Q5)</f>
        <v>43.6</v>
      </c>
      <c r="T5" s="88"/>
      <c r="U5" s="46">
        <v>69.4</v>
      </c>
      <c r="V5" s="37"/>
      <c r="Y5" s="39"/>
      <c r="Z5" s="40"/>
      <c r="AA5" s="41"/>
      <c r="AC5" s="42">
        <f aca="true" t="shared" si="1" ref="AC5:AC20">MAX(Q5,O5,M5,K5,I5,G5,E5)</f>
        <v>16.1</v>
      </c>
    </row>
    <row r="6" spans="2:29" s="38" customFormat="1" ht="18" customHeight="1">
      <c r="B6" s="81">
        <v>15</v>
      </c>
      <c r="C6" s="86">
        <f>+C5+7</f>
        <v>37256</v>
      </c>
      <c r="D6" s="86">
        <f>+D5+7</f>
        <v>37262</v>
      </c>
      <c r="E6" s="75">
        <v>18</v>
      </c>
      <c r="F6" s="87" t="s">
        <v>13</v>
      </c>
      <c r="G6" s="75"/>
      <c r="H6" s="84"/>
      <c r="I6" s="75"/>
      <c r="J6" s="84"/>
      <c r="K6" s="75" t="s">
        <v>11</v>
      </c>
      <c r="L6" s="84"/>
      <c r="M6" s="75"/>
      <c r="N6" s="84"/>
      <c r="O6" s="75" t="s">
        <v>11</v>
      </c>
      <c r="P6" s="85"/>
      <c r="Q6" s="75">
        <v>16.1</v>
      </c>
      <c r="R6" s="84" t="s">
        <v>19</v>
      </c>
      <c r="S6" s="75">
        <f t="shared" si="0"/>
        <v>34.1</v>
      </c>
      <c r="T6" s="89"/>
      <c r="U6" s="46">
        <v>69.3</v>
      </c>
      <c r="V6" s="44" t="s">
        <v>45</v>
      </c>
      <c r="Y6" s="39"/>
      <c r="Z6" s="40"/>
      <c r="AA6" s="41"/>
      <c r="AC6" s="42">
        <f t="shared" si="1"/>
        <v>18</v>
      </c>
    </row>
    <row r="7" spans="2:29" s="38" customFormat="1" ht="18" customHeight="1">
      <c r="B7" s="81">
        <v>14</v>
      </c>
      <c r="C7" s="86">
        <f aca="true" t="shared" si="2" ref="C7:D17">+C6+7</f>
        <v>37263</v>
      </c>
      <c r="D7" s="86">
        <f t="shared" si="2"/>
        <v>37269</v>
      </c>
      <c r="E7" s="75" t="s">
        <v>11</v>
      </c>
      <c r="F7" s="84"/>
      <c r="G7" s="75"/>
      <c r="H7" s="84"/>
      <c r="I7" s="75"/>
      <c r="J7" s="84"/>
      <c r="K7" s="75">
        <v>8</v>
      </c>
      <c r="L7" s="85" t="s">
        <v>20</v>
      </c>
      <c r="M7" s="75" t="s">
        <v>11</v>
      </c>
      <c r="N7" s="84"/>
      <c r="O7" s="75"/>
      <c r="P7" s="87"/>
      <c r="Q7" s="75">
        <v>16.1</v>
      </c>
      <c r="R7" s="84" t="s">
        <v>20</v>
      </c>
      <c r="S7" s="75">
        <f t="shared" si="0"/>
        <v>24.1</v>
      </c>
      <c r="T7" s="90"/>
      <c r="U7" s="46">
        <v>69.5</v>
      </c>
      <c r="V7" s="37"/>
      <c r="Y7" s="39"/>
      <c r="Z7" s="40"/>
      <c r="AA7" s="41"/>
      <c r="AC7" s="42">
        <f t="shared" si="1"/>
        <v>16.1</v>
      </c>
    </row>
    <row r="8" spans="2:29" s="38" customFormat="1" ht="18" customHeight="1" thickBot="1">
      <c r="B8" s="96">
        <v>13</v>
      </c>
      <c r="C8" s="97">
        <f t="shared" si="2"/>
        <v>37270</v>
      </c>
      <c r="D8" s="97">
        <f t="shared" si="2"/>
        <v>37276</v>
      </c>
      <c r="E8" s="93" t="s">
        <v>11</v>
      </c>
      <c r="F8" s="98"/>
      <c r="G8" s="93"/>
      <c r="H8" s="98"/>
      <c r="I8" s="93">
        <v>8</v>
      </c>
      <c r="J8" s="100" t="s">
        <v>46</v>
      </c>
      <c r="K8" s="93">
        <v>12</v>
      </c>
      <c r="L8" s="98" t="s">
        <v>19</v>
      </c>
      <c r="M8" s="93" t="s">
        <v>33</v>
      </c>
      <c r="N8" s="98"/>
      <c r="O8" s="93"/>
      <c r="P8" s="98"/>
      <c r="Q8" s="93">
        <v>20</v>
      </c>
      <c r="R8" s="98" t="s">
        <v>20</v>
      </c>
      <c r="S8" s="93">
        <f>SUM(E8:Q8)</f>
        <v>40</v>
      </c>
      <c r="T8" s="94"/>
      <c r="U8" s="95">
        <v>69.9</v>
      </c>
      <c r="V8" s="115"/>
      <c r="Y8" s="39"/>
      <c r="Z8" s="40"/>
      <c r="AA8" s="41"/>
      <c r="AC8" s="42">
        <f t="shared" si="1"/>
        <v>20</v>
      </c>
    </row>
    <row r="9" spans="2:29" s="38" customFormat="1" ht="18" customHeight="1">
      <c r="B9" s="101">
        <v>12</v>
      </c>
      <c r="C9" s="102">
        <f t="shared" si="2"/>
        <v>37277</v>
      </c>
      <c r="D9" s="102">
        <f t="shared" si="2"/>
        <v>37283</v>
      </c>
      <c r="E9" s="91" t="s">
        <v>11</v>
      </c>
      <c r="F9" s="103"/>
      <c r="G9" s="91">
        <v>12</v>
      </c>
      <c r="H9" s="103" t="s">
        <v>19</v>
      </c>
      <c r="I9" s="104">
        <v>8.5</v>
      </c>
      <c r="J9" s="103" t="s">
        <v>20</v>
      </c>
      <c r="K9" s="91"/>
      <c r="L9" s="103"/>
      <c r="M9" s="91"/>
      <c r="N9" s="103"/>
      <c r="O9" s="91">
        <v>27.4</v>
      </c>
      <c r="P9" s="107" t="s">
        <v>21</v>
      </c>
      <c r="Q9" s="91">
        <v>4.5</v>
      </c>
      <c r="R9" s="103" t="s">
        <v>19</v>
      </c>
      <c r="S9" s="91">
        <f t="shared" si="0"/>
        <v>52.4</v>
      </c>
      <c r="T9" s="77">
        <v>55</v>
      </c>
      <c r="U9" s="92">
        <v>69.5</v>
      </c>
      <c r="V9" s="44" t="s">
        <v>53</v>
      </c>
      <c r="W9" s="37"/>
      <c r="Y9" s="39"/>
      <c r="Z9" s="43"/>
      <c r="AA9" s="41"/>
      <c r="AC9" s="42">
        <f t="shared" si="1"/>
        <v>27.4</v>
      </c>
    </row>
    <row r="10" spans="2:29" s="38" customFormat="1" ht="19.5" customHeight="1">
      <c r="B10" s="81">
        <v>11</v>
      </c>
      <c r="C10" s="86">
        <f t="shared" si="2"/>
        <v>37284</v>
      </c>
      <c r="D10" s="86">
        <f t="shared" si="2"/>
        <v>37290</v>
      </c>
      <c r="E10" s="157" t="s">
        <v>54</v>
      </c>
      <c r="F10" s="158"/>
      <c r="G10" s="158"/>
      <c r="H10" s="159"/>
      <c r="I10" s="75" t="s">
        <v>33</v>
      </c>
      <c r="J10" s="84"/>
      <c r="K10" s="105">
        <v>5</v>
      </c>
      <c r="L10" s="84" t="s">
        <v>44</v>
      </c>
      <c r="M10" s="75">
        <v>11</v>
      </c>
      <c r="N10" s="84" t="s">
        <v>20</v>
      </c>
      <c r="O10" s="75"/>
      <c r="P10" s="106"/>
      <c r="Q10" s="75">
        <v>24</v>
      </c>
      <c r="R10" s="84" t="s">
        <v>19</v>
      </c>
      <c r="S10" s="75">
        <f t="shared" si="0"/>
        <v>40</v>
      </c>
      <c r="T10" s="77">
        <v>60</v>
      </c>
      <c r="U10" s="46">
        <v>68.8</v>
      </c>
      <c r="V10" s="44"/>
      <c r="W10" s="37"/>
      <c r="AC10" s="42">
        <f t="shared" si="1"/>
        <v>24</v>
      </c>
    </row>
    <row r="11" spans="2:29" s="38" customFormat="1" ht="18" customHeight="1">
      <c r="B11" s="81">
        <v>10</v>
      </c>
      <c r="C11" s="86">
        <f t="shared" si="2"/>
        <v>37291</v>
      </c>
      <c r="D11" s="86">
        <f t="shared" si="2"/>
        <v>37297</v>
      </c>
      <c r="E11" s="75" t="s">
        <v>11</v>
      </c>
      <c r="F11" s="84"/>
      <c r="G11" s="75">
        <v>10</v>
      </c>
      <c r="H11" s="84" t="s">
        <v>44</v>
      </c>
      <c r="I11" s="105">
        <v>16</v>
      </c>
      <c r="J11" s="84" t="s">
        <v>55</v>
      </c>
      <c r="K11" s="75">
        <v>12</v>
      </c>
      <c r="L11" s="84" t="s">
        <v>19</v>
      </c>
      <c r="M11" s="75">
        <v>7</v>
      </c>
      <c r="N11" s="84" t="s">
        <v>44</v>
      </c>
      <c r="O11" s="75"/>
      <c r="P11" s="106"/>
      <c r="Q11" s="75">
        <v>25</v>
      </c>
      <c r="R11" s="87" t="s">
        <v>13</v>
      </c>
      <c r="S11" s="75">
        <f>SUM(E11:R11)</f>
        <v>70</v>
      </c>
      <c r="T11" s="77">
        <v>70</v>
      </c>
      <c r="U11" s="46">
        <v>69.3</v>
      </c>
      <c r="V11" s="44" t="s">
        <v>56</v>
      </c>
      <c r="W11" s="45"/>
      <c r="AC11" s="42">
        <f t="shared" si="1"/>
        <v>25</v>
      </c>
    </row>
    <row r="12" spans="2:29" s="38" customFormat="1" ht="18" customHeight="1">
      <c r="B12" s="81">
        <v>9</v>
      </c>
      <c r="C12" s="86">
        <f t="shared" si="2"/>
        <v>37298</v>
      </c>
      <c r="D12" s="86">
        <f t="shared" si="2"/>
        <v>37304</v>
      </c>
      <c r="E12" s="75" t="s">
        <v>11</v>
      </c>
      <c r="F12" s="84"/>
      <c r="G12" s="75">
        <v>7</v>
      </c>
      <c r="H12" s="84" t="s">
        <v>44</v>
      </c>
      <c r="I12" s="105">
        <v>10</v>
      </c>
      <c r="J12" s="84" t="s">
        <v>19</v>
      </c>
      <c r="K12" s="75">
        <v>15</v>
      </c>
      <c r="L12" s="84" t="s">
        <v>55</v>
      </c>
      <c r="M12" s="162" t="s">
        <v>58</v>
      </c>
      <c r="N12" s="163"/>
      <c r="O12" s="75">
        <v>14</v>
      </c>
      <c r="P12" s="106" t="s">
        <v>19</v>
      </c>
      <c r="Q12" s="75">
        <v>30</v>
      </c>
      <c r="R12" s="84" t="s">
        <v>19</v>
      </c>
      <c r="S12" s="75">
        <f t="shared" si="0"/>
        <v>76</v>
      </c>
      <c r="T12" s="77">
        <v>75</v>
      </c>
      <c r="U12" s="46">
        <v>68.7</v>
      </c>
      <c r="V12" s="44"/>
      <c r="AC12" s="42">
        <f t="shared" si="1"/>
        <v>30</v>
      </c>
    </row>
    <row r="13" spans="2:29" s="38" customFormat="1" ht="18" customHeight="1">
      <c r="B13" s="81">
        <v>8</v>
      </c>
      <c r="C13" s="86">
        <f t="shared" si="2"/>
        <v>37305</v>
      </c>
      <c r="D13" s="86">
        <f t="shared" si="2"/>
        <v>37311</v>
      </c>
      <c r="E13" s="75" t="s">
        <v>11</v>
      </c>
      <c r="F13" s="84"/>
      <c r="G13" s="75">
        <v>10</v>
      </c>
      <c r="H13" s="84" t="s">
        <v>19</v>
      </c>
      <c r="I13" s="150" t="s">
        <v>57</v>
      </c>
      <c r="J13" s="151"/>
      <c r="K13" s="75">
        <v>10</v>
      </c>
      <c r="L13" s="84" t="s">
        <v>61</v>
      </c>
      <c r="M13" s="75"/>
      <c r="N13" s="84"/>
      <c r="O13" s="75">
        <v>34</v>
      </c>
      <c r="P13" s="87" t="s">
        <v>21</v>
      </c>
      <c r="Q13" s="75">
        <v>8.5</v>
      </c>
      <c r="R13" s="84" t="s">
        <v>19</v>
      </c>
      <c r="S13" s="75">
        <f aca="true" t="shared" si="3" ref="S13:S20">SUM(E13:Q13)</f>
        <v>62.5</v>
      </c>
      <c r="T13" s="78">
        <v>60</v>
      </c>
      <c r="U13" s="46">
        <v>68.4</v>
      </c>
      <c r="V13" s="44" t="s">
        <v>59</v>
      </c>
      <c r="AC13" s="42">
        <f t="shared" si="1"/>
        <v>34</v>
      </c>
    </row>
    <row r="14" spans="2:29" s="38" customFormat="1" ht="18" customHeight="1">
      <c r="B14" s="81">
        <v>7</v>
      </c>
      <c r="C14" s="86">
        <f t="shared" si="2"/>
        <v>37312</v>
      </c>
      <c r="D14" s="86">
        <f t="shared" si="2"/>
        <v>37318</v>
      </c>
      <c r="E14" s="75" t="s">
        <v>11</v>
      </c>
      <c r="F14" s="84"/>
      <c r="G14" s="75"/>
      <c r="H14" s="84"/>
      <c r="I14" s="105">
        <v>10</v>
      </c>
      <c r="J14" s="84" t="s">
        <v>19</v>
      </c>
      <c r="K14" s="75">
        <v>12.5</v>
      </c>
      <c r="L14" s="84" t="s">
        <v>60</v>
      </c>
      <c r="M14" s="162" t="s">
        <v>58</v>
      </c>
      <c r="N14" s="163"/>
      <c r="O14" s="75">
        <v>12.5</v>
      </c>
      <c r="P14" s="106" t="s">
        <v>20</v>
      </c>
      <c r="Q14" s="75">
        <v>32</v>
      </c>
      <c r="R14" s="84" t="s">
        <v>19</v>
      </c>
      <c r="S14" s="75">
        <f t="shared" si="3"/>
        <v>67</v>
      </c>
      <c r="T14" s="78">
        <v>65</v>
      </c>
      <c r="U14" s="46">
        <v>68.4</v>
      </c>
      <c r="V14" s="44"/>
      <c r="AC14" s="42">
        <f t="shared" si="1"/>
        <v>32</v>
      </c>
    </row>
    <row r="15" spans="2:29" s="38" customFormat="1" ht="18" customHeight="1">
      <c r="B15" s="81">
        <v>6</v>
      </c>
      <c r="C15" s="86">
        <f t="shared" si="2"/>
        <v>37319</v>
      </c>
      <c r="D15" s="86">
        <f t="shared" si="2"/>
        <v>37325</v>
      </c>
      <c r="E15" s="75" t="s">
        <v>11</v>
      </c>
      <c r="F15" s="84"/>
      <c r="G15" s="75"/>
      <c r="H15" s="84"/>
      <c r="I15" s="105">
        <v>12</v>
      </c>
      <c r="J15" s="84" t="s">
        <v>20</v>
      </c>
      <c r="K15" s="75"/>
      <c r="L15" s="84"/>
      <c r="M15" s="75">
        <v>16</v>
      </c>
      <c r="N15" s="84" t="s">
        <v>20</v>
      </c>
      <c r="O15" s="75">
        <v>8.5</v>
      </c>
      <c r="P15" s="106" t="s">
        <v>20</v>
      </c>
      <c r="Q15" s="75">
        <v>24</v>
      </c>
      <c r="R15" s="106" t="s">
        <v>20</v>
      </c>
      <c r="S15" s="75">
        <f>SUM(E15:Q15)</f>
        <v>60.5</v>
      </c>
      <c r="T15" s="77">
        <v>70</v>
      </c>
      <c r="U15" s="46">
        <v>68.1</v>
      </c>
      <c r="V15" s="37"/>
      <c r="AC15" s="42">
        <f t="shared" si="1"/>
        <v>24</v>
      </c>
    </row>
    <row r="16" spans="2:29" s="38" customFormat="1" ht="18" customHeight="1">
      <c r="B16" s="109">
        <v>5</v>
      </c>
      <c r="C16" s="110">
        <f t="shared" si="2"/>
        <v>37326</v>
      </c>
      <c r="D16" s="110">
        <f t="shared" si="2"/>
        <v>37332</v>
      </c>
      <c r="E16" s="111" t="s">
        <v>11</v>
      </c>
      <c r="F16" s="106"/>
      <c r="G16" s="111">
        <v>11.5</v>
      </c>
      <c r="H16" s="106" t="s">
        <v>19</v>
      </c>
      <c r="I16" s="112">
        <v>16</v>
      </c>
      <c r="J16" s="106" t="s">
        <v>19</v>
      </c>
      <c r="K16" s="111">
        <v>12.5</v>
      </c>
      <c r="L16" s="106" t="s">
        <v>68</v>
      </c>
      <c r="M16" s="111">
        <v>8.5</v>
      </c>
      <c r="N16" s="106" t="s">
        <v>19</v>
      </c>
      <c r="O16" s="164" t="s">
        <v>63</v>
      </c>
      <c r="P16" s="165"/>
      <c r="Q16" s="111">
        <v>33.3</v>
      </c>
      <c r="R16" s="87" t="s">
        <v>21</v>
      </c>
      <c r="S16" s="75">
        <f t="shared" si="3"/>
        <v>81.8</v>
      </c>
      <c r="T16" s="77">
        <v>80</v>
      </c>
      <c r="U16" s="46"/>
      <c r="V16" s="44" t="s">
        <v>69</v>
      </c>
      <c r="AC16" s="42">
        <f t="shared" si="1"/>
        <v>33.3</v>
      </c>
    </row>
    <row r="17" spans="2:29" s="38" customFormat="1" ht="18" customHeight="1">
      <c r="B17" s="81">
        <v>4</v>
      </c>
      <c r="C17" s="86">
        <f t="shared" si="2"/>
        <v>37333</v>
      </c>
      <c r="D17" s="86">
        <f t="shared" si="2"/>
        <v>37339</v>
      </c>
      <c r="E17" s="150" t="s">
        <v>63</v>
      </c>
      <c r="F17" s="151"/>
      <c r="G17" s="75" t="s">
        <v>11</v>
      </c>
      <c r="H17" s="84"/>
      <c r="I17" s="105">
        <v>10</v>
      </c>
      <c r="J17" s="84" t="s">
        <v>19</v>
      </c>
      <c r="K17" s="75">
        <v>16.5</v>
      </c>
      <c r="L17" s="84" t="s">
        <v>42</v>
      </c>
      <c r="M17" s="75" t="s">
        <v>33</v>
      </c>
      <c r="N17" s="84"/>
      <c r="O17" s="75">
        <v>12.5</v>
      </c>
      <c r="P17" s="106" t="s">
        <v>19</v>
      </c>
      <c r="Q17" s="150" t="s">
        <v>70</v>
      </c>
      <c r="R17" s="151"/>
      <c r="S17" s="75">
        <f>SUM(E17:Q17)</f>
        <v>39</v>
      </c>
      <c r="T17" s="77">
        <v>65</v>
      </c>
      <c r="U17" s="46">
        <v>68.2</v>
      </c>
      <c r="V17" s="37"/>
      <c r="AC17" s="42">
        <f t="shared" si="1"/>
        <v>16.5</v>
      </c>
    </row>
    <row r="18" spans="2:29" s="38" customFormat="1" ht="18" customHeight="1">
      <c r="B18" s="81">
        <v>3</v>
      </c>
      <c r="C18" s="86">
        <f aca="true" t="shared" si="4" ref="C18:D20">+C17+7</f>
        <v>37340</v>
      </c>
      <c r="D18" s="86">
        <f t="shared" si="4"/>
        <v>37346</v>
      </c>
      <c r="E18" s="150" t="s">
        <v>71</v>
      </c>
      <c r="F18" s="166"/>
      <c r="G18" s="166"/>
      <c r="H18" s="166"/>
      <c r="I18" s="166"/>
      <c r="J18" s="166"/>
      <c r="K18" s="166"/>
      <c r="L18" s="166"/>
      <c r="M18" s="166"/>
      <c r="N18" s="151"/>
      <c r="O18" s="75">
        <v>11</v>
      </c>
      <c r="P18" s="106" t="s">
        <v>19</v>
      </c>
      <c r="Q18" s="75">
        <v>10.5</v>
      </c>
      <c r="R18" s="84" t="s">
        <v>19</v>
      </c>
      <c r="S18" s="75">
        <f>SUM(E18:Q18)</f>
        <v>21.5</v>
      </c>
      <c r="T18" s="77">
        <v>75</v>
      </c>
      <c r="U18" s="46">
        <v>68</v>
      </c>
      <c r="V18" s="37"/>
      <c r="AC18" s="42">
        <f t="shared" si="1"/>
        <v>11</v>
      </c>
    </row>
    <row r="19" spans="2:29" s="38" customFormat="1" ht="18" customHeight="1" thickBot="1">
      <c r="B19" s="81">
        <v>2</v>
      </c>
      <c r="C19" s="86">
        <f t="shared" si="4"/>
        <v>37347</v>
      </c>
      <c r="D19" s="86">
        <f t="shared" si="4"/>
        <v>37353</v>
      </c>
      <c r="E19" s="75">
        <v>4.5</v>
      </c>
      <c r="F19" s="84" t="s">
        <v>19</v>
      </c>
      <c r="G19" s="150" t="s">
        <v>72</v>
      </c>
      <c r="H19" s="151"/>
      <c r="I19" s="75" t="s">
        <v>11</v>
      </c>
      <c r="J19" s="84"/>
      <c r="K19" s="75">
        <v>7</v>
      </c>
      <c r="L19" s="103" t="s">
        <v>19</v>
      </c>
      <c r="M19" s="75" t="s">
        <v>33</v>
      </c>
      <c r="N19" s="84"/>
      <c r="O19" s="75">
        <v>7</v>
      </c>
      <c r="P19" s="106" t="s">
        <v>20</v>
      </c>
      <c r="Q19" s="75">
        <v>20</v>
      </c>
      <c r="R19" s="84" t="s">
        <v>19</v>
      </c>
      <c r="S19" s="75">
        <f>SUM(E19:Q19)</f>
        <v>38.5</v>
      </c>
      <c r="T19" s="77">
        <v>50</v>
      </c>
      <c r="U19" s="46"/>
      <c r="V19" s="37"/>
      <c r="AC19" s="42">
        <f t="shared" si="1"/>
        <v>20</v>
      </c>
    </row>
    <row r="20" spans="2:29" s="38" customFormat="1" ht="18" customHeight="1" thickBot="1">
      <c r="B20" s="81">
        <v>1</v>
      </c>
      <c r="C20" s="86">
        <f t="shared" si="4"/>
        <v>37354</v>
      </c>
      <c r="D20" s="86">
        <f t="shared" si="4"/>
        <v>37360</v>
      </c>
      <c r="E20" s="75" t="s">
        <v>33</v>
      </c>
      <c r="F20" s="84"/>
      <c r="G20" s="75">
        <v>12</v>
      </c>
      <c r="H20" s="84" t="s">
        <v>20</v>
      </c>
      <c r="I20" s="105"/>
      <c r="J20" s="84"/>
      <c r="K20" s="75">
        <v>7</v>
      </c>
      <c r="L20" s="147" t="s">
        <v>19</v>
      </c>
      <c r="M20" s="160" t="s">
        <v>14</v>
      </c>
      <c r="N20" s="161"/>
      <c r="O20" s="148"/>
      <c r="P20" s="149"/>
      <c r="Q20" s="145">
        <v>42.2</v>
      </c>
      <c r="R20" s="146" t="s">
        <v>13</v>
      </c>
      <c r="S20" s="76">
        <f t="shared" si="3"/>
        <v>61.2</v>
      </c>
      <c r="T20" s="77">
        <v>62</v>
      </c>
      <c r="U20" s="46"/>
      <c r="V20" s="37"/>
      <c r="AC20" s="42">
        <f t="shared" si="1"/>
        <v>42.2</v>
      </c>
    </row>
    <row r="21" spans="17:23" ht="15">
      <c r="Q21" s="17"/>
      <c r="S21" s="114">
        <f>SUM(S9:S20)</f>
        <v>670.4000000000001</v>
      </c>
      <c r="T21" s="113">
        <f>SUM(T9:T20)</f>
        <v>787</v>
      </c>
      <c r="U21" s="47"/>
      <c r="W21" s="27"/>
    </row>
    <row r="22" spans="3:23" ht="15">
      <c r="C22" s="27"/>
      <c r="H22" s="16"/>
      <c r="I22" s="18"/>
      <c r="J22" s="16"/>
      <c r="Q22" s="17"/>
      <c r="S22" s="80">
        <f>AVERAGEA(S9:S20)</f>
        <v>55.866666666666674</v>
      </c>
      <c r="T22" s="79">
        <f>AVERAGEA(T9:T20)</f>
        <v>65.58333333333333</v>
      </c>
      <c r="U22" s="48" t="s">
        <v>32</v>
      </c>
      <c r="W22" s="27"/>
    </row>
    <row r="23" spans="17:23" ht="15">
      <c r="Q23" s="17"/>
      <c r="W23" s="27"/>
    </row>
    <row r="24" spans="17:23" ht="15">
      <c r="Q24" s="17"/>
      <c r="W24" s="27"/>
    </row>
    <row r="25" spans="17:23" ht="15">
      <c r="Q25" s="17"/>
      <c r="W25" s="27"/>
    </row>
    <row r="26" ht="15">
      <c r="W26" s="27"/>
    </row>
    <row r="27" ht="15">
      <c r="W27" s="27"/>
    </row>
    <row r="28" ht="15">
      <c r="W28" s="27"/>
    </row>
    <row r="29" ht="15">
      <c r="W29" s="27"/>
    </row>
    <row r="30" ht="15">
      <c r="W30" s="27"/>
    </row>
    <row r="32" ht="22.5" customHeight="1"/>
    <row r="33" spans="3:14" ht="20.25" customHeight="1">
      <c r="C33" s="49" t="s">
        <v>48</v>
      </c>
      <c r="H33" s="50" t="s">
        <v>49</v>
      </c>
      <c r="I33" s="49"/>
      <c r="L33" s="51"/>
      <c r="N33" s="51"/>
    </row>
    <row r="34" spans="3:14" ht="12.75" customHeight="1">
      <c r="C34" s="49" t="s">
        <v>12</v>
      </c>
      <c r="F34" s="50"/>
      <c r="H34" s="51" t="s">
        <v>50</v>
      </c>
      <c r="I34" s="49"/>
      <c r="K34" s="49"/>
      <c r="L34" s="51"/>
      <c r="N34" s="51"/>
    </row>
    <row r="35" spans="3:14" ht="15">
      <c r="C35" s="49" t="s">
        <v>62</v>
      </c>
      <c r="F35" s="50"/>
      <c r="I35" s="49"/>
      <c r="K35" s="49"/>
      <c r="L35" s="51"/>
      <c r="N35" s="51"/>
    </row>
    <row r="36" spans="3:14" ht="15">
      <c r="C36" s="49" t="s">
        <v>47</v>
      </c>
      <c r="F36" s="50"/>
      <c r="I36" s="49"/>
      <c r="K36" s="49"/>
      <c r="L36" s="51"/>
      <c r="N36" s="51"/>
    </row>
    <row r="38" spans="2:23" ht="15">
      <c r="B38" s="52"/>
      <c r="C38" s="53" t="s">
        <v>3</v>
      </c>
      <c r="D38" s="54"/>
      <c r="E38" s="55">
        <v>166</v>
      </c>
      <c r="F38" s="54"/>
      <c r="G38" s="56"/>
      <c r="H38" s="54"/>
      <c r="I38" s="56"/>
      <c r="J38" s="54"/>
      <c r="K38" s="57"/>
      <c r="L38" s="27"/>
      <c r="M38" s="27"/>
      <c r="N38" s="27"/>
      <c r="O38" s="27"/>
      <c r="P38" s="27"/>
      <c r="Q38" s="27"/>
      <c r="R38" s="27"/>
      <c r="S38" s="27"/>
      <c r="T38" s="27"/>
      <c r="U38" s="27"/>
      <c r="W38" s="27"/>
    </row>
    <row r="39" spans="2:23" ht="15">
      <c r="B39" s="52"/>
      <c r="C39" s="58"/>
      <c r="D39" s="59"/>
      <c r="E39" s="60" t="s">
        <v>39</v>
      </c>
      <c r="F39" s="59"/>
      <c r="G39" s="61" t="s">
        <v>40</v>
      </c>
      <c r="H39" s="59"/>
      <c r="I39" s="60" t="s">
        <v>39</v>
      </c>
      <c r="J39" s="59"/>
      <c r="K39" s="61" t="s">
        <v>40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W39" s="27"/>
    </row>
    <row r="40" spans="2:23" ht="12" customHeight="1">
      <c r="B40" s="52"/>
      <c r="C40" s="58" t="s">
        <v>64</v>
      </c>
      <c r="D40" s="59"/>
      <c r="E40" s="60"/>
      <c r="F40" s="59"/>
      <c r="G40" s="63">
        <f aca="true" t="shared" si="5" ref="G40:G48">+K40*$E$38</f>
        <v>116.19999999999999</v>
      </c>
      <c r="H40" s="59"/>
      <c r="I40" s="60"/>
      <c r="J40" s="59"/>
      <c r="K40" s="65">
        <v>0.7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W40" s="27"/>
    </row>
    <row r="41" spans="2:23" ht="12" customHeight="1">
      <c r="B41" s="52"/>
      <c r="C41" s="58" t="s">
        <v>65</v>
      </c>
      <c r="D41" s="59"/>
      <c r="E41" s="62">
        <f aca="true" t="shared" si="6" ref="E41:E48">+I41*$E$38</f>
        <v>116.19999999999999</v>
      </c>
      <c r="F41" s="59"/>
      <c r="G41" s="63">
        <f t="shared" si="5"/>
        <v>120.35</v>
      </c>
      <c r="H41" s="59"/>
      <c r="I41" s="64">
        <v>0.7</v>
      </c>
      <c r="J41" s="59"/>
      <c r="K41" s="65">
        <v>0.725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W41" s="27"/>
    </row>
    <row r="42" spans="2:23" ht="12" customHeight="1">
      <c r="B42" s="52"/>
      <c r="C42" s="58" t="s">
        <v>66</v>
      </c>
      <c r="D42" s="59"/>
      <c r="E42" s="62">
        <f t="shared" si="6"/>
        <v>120.35</v>
      </c>
      <c r="F42" s="59"/>
      <c r="G42" s="63">
        <f t="shared" si="5"/>
        <v>124.5</v>
      </c>
      <c r="H42" s="59"/>
      <c r="I42" s="64">
        <v>0.725</v>
      </c>
      <c r="J42" s="59"/>
      <c r="K42" s="65">
        <v>0.75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W42" s="27"/>
    </row>
    <row r="43" spans="2:23" ht="12" customHeight="1">
      <c r="B43" s="66"/>
      <c r="C43" s="58" t="s">
        <v>67</v>
      </c>
      <c r="D43" s="59"/>
      <c r="E43" s="62">
        <f t="shared" si="6"/>
        <v>124.5</v>
      </c>
      <c r="F43" s="59"/>
      <c r="G43" s="63">
        <f t="shared" si="5"/>
        <v>132.8</v>
      </c>
      <c r="H43" s="59"/>
      <c r="I43" s="64">
        <v>0.75</v>
      </c>
      <c r="J43" s="59"/>
      <c r="K43" s="65">
        <v>0.8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W43" s="27"/>
    </row>
    <row r="44" spans="2:23" ht="12" customHeight="1">
      <c r="B44" s="66"/>
      <c r="C44" s="108" t="s">
        <v>4</v>
      </c>
      <c r="D44" s="59"/>
      <c r="E44" s="62">
        <f t="shared" si="6"/>
        <v>132.8</v>
      </c>
      <c r="F44" s="59"/>
      <c r="G44" s="63">
        <f t="shared" si="5"/>
        <v>141.1</v>
      </c>
      <c r="H44" s="59"/>
      <c r="I44" s="64">
        <v>0.8</v>
      </c>
      <c r="J44" s="59"/>
      <c r="K44" s="65">
        <v>0.85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W44" s="27"/>
    </row>
    <row r="45" spans="2:23" ht="12" customHeight="1">
      <c r="B45" s="66"/>
      <c r="C45" s="58" t="s">
        <v>5</v>
      </c>
      <c r="D45" s="59"/>
      <c r="E45" s="62">
        <f t="shared" si="6"/>
        <v>141.1</v>
      </c>
      <c r="F45" s="59"/>
      <c r="G45" s="63">
        <f t="shared" si="5"/>
        <v>149.4</v>
      </c>
      <c r="H45" s="59"/>
      <c r="I45" s="64">
        <v>0.85</v>
      </c>
      <c r="J45" s="59"/>
      <c r="K45" s="65">
        <v>0.9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W45" s="27"/>
    </row>
    <row r="46" spans="2:23" ht="12" customHeight="1">
      <c r="B46" s="66"/>
      <c r="C46" s="58" t="s">
        <v>6</v>
      </c>
      <c r="D46" s="59"/>
      <c r="E46" s="62">
        <f t="shared" si="6"/>
        <v>149.4</v>
      </c>
      <c r="F46" s="59"/>
      <c r="G46" s="63">
        <f t="shared" si="5"/>
        <v>153.55</v>
      </c>
      <c r="H46" s="59"/>
      <c r="I46" s="64">
        <v>0.9</v>
      </c>
      <c r="J46" s="59"/>
      <c r="K46" s="65">
        <v>0.925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W46" s="27"/>
    </row>
    <row r="47" spans="2:23" ht="12" customHeight="1">
      <c r="B47" s="66"/>
      <c r="C47" s="67" t="s">
        <v>7</v>
      </c>
      <c r="D47" s="59"/>
      <c r="E47" s="62">
        <f t="shared" si="6"/>
        <v>153.55</v>
      </c>
      <c r="F47" s="59"/>
      <c r="G47" s="63">
        <f t="shared" si="5"/>
        <v>157.7</v>
      </c>
      <c r="H47" s="59"/>
      <c r="I47" s="64">
        <v>0.925</v>
      </c>
      <c r="J47" s="59"/>
      <c r="K47" s="65">
        <v>0.95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W47" s="27"/>
    </row>
    <row r="48" spans="2:23" ht="12" customHeight="1">
      <c r="B48" s="68"/>
      <c r="C48" s="69" t="s">
        <v>8</v>
      </c>
      <c r="D48" s="70"/>
      <c r="E48" s="71">
        <f t="shared" si="6"/>
        <v>157.7</v>
      </c>
      <c r="F48" s="70"/>
      <c r="G48" s="72">
        <f t="shared" si="5"/>
        <v>161.85</v>
      </c>
      <c r="H48" s="70"/>
      <c r="I48" s="73">
        <v>0.95</v>
      </c>
      <c r="J48" s="70"/>
      <c r="K48" s="74">
        <v>0.975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W48" s="27"/>
    </row>
    <row r="49" ht="7.5" customHeight="1"/>
  </sheetData>
  <mergeCells count="13">
    <mergeCell ref="Q17:R17"/>
    <mergeCell ref="O16:P16"/>
    <mergeCell ref="E17:F17"/>
    <mergeCell ref="E18:N18"/>
    <mergeCell ref="M20:N20"/>
    <mergeCell ref="I13:J13"/>
    <mergeCell ref="M12:N12"/>
    <mergeCell ref="M14:N14"/>
    <mergeCell ref="G19:H19"/>
    <mergeCell ref="D2:E2"/>
    <mergeCell ref="B4:D4"/>
    <mergeCell ref="H2:I2"/>
    <mergeCell ref="E10:H10"/>
  </mergeCells>
  <printOptions/>
  <pageMargins left="0.48" right="0.31" top="0.52" bottom="0.33" header="0.15" footer="0.21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9:K59"/>
  <sheetViews>
    <sheetView zoomScale="96" zoomScaleNormal="96"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5.4453125" style="0" bestFit="1" customWidth="1"/>
    <col min="3" max="3" width="5.4453125" style="9" bestFit="1" customWidth="1"/>
    <col min="4" max="4" width="7.88671875" style="0" bestFit="1" customWidth="1"/>
    <col min="5" max="5" width="7.10546875" style="0" customWidth="1"/>
    <col min="6" max="6" width="5.4453125" style="0" bestFit="1" customWidth="1"/>
    <col min="13" max="13" width="4.88671875" style="0" customWidth="1"/>
  </cols>
  <sheetData>
    <row r="29" spans="1:6" ht="15">
      <c r="A29" t="s">
        <v>15</v>
      </c>
      <c r="B29" s="9" t="s">
        <v>10</v>
      </c>
      <c r="C29" s="9" t="s">
        <v>16</v>
      </c>
      <c r="D29" t="s">
        <v>17</v>
      </c>
      <c r="E29" t="s">
        <v>17</v>
      </c>
      <c r="F29" s="13" t="s">
        <v>18</v>
      </c>
    </row>
    <row r="30" spans="1:6" ht="15">
      <c r="A30" s="11">
        <v>1</v>
      </c>
      <c r="B30" s="9">
        <v>0.005509259259259259</v>
      </c>
      <c r="C30" s="9">
        <v>0.005625</v>
      </c>
      <c r="D30" s="10">
        <f>+C30</f>
        <v>0.005625</v>
      </c>
      <c r="E30" s="9">
        <f>+D30/A30</f>
        <v>0.005625</v>
      </c>
      <c r="F30" s="144">
        <v>120</v>
      </c>
    </row>
    <row r="31" spans="1:6" ht="15">
      <c r="A31" s="11">
        <v>2</v>
      </c>
      <c r="B31" s="9">
        <v>0.005509259259259259</v>
      </c>
      <c r="C31" s="9">
        <v>0.005219907407407407</v>
      </c>
      <c r="D31" s="10">
        <f>+C31+C30</f>
        <v>0.010844907407407407</v>
      </c>
      <c r="E31" s="9">
        <f>+D31/A31</f>
        <v>0.005422453703703704</v>
      </c>
      <c r="F31" s="144">
        <v>129</v>
      </c>
    </row>
    <row r="32" spans="1:6" ht="15">
      <c r="A32" s="14">
        <v>3</v>
      </c>
      <c r="B32" s="9">
        <v>0.005509259259259259</v>
      </c>
      <c r="C32" s="9">
        <v>0.005381944444444445</v>
      </c>
      <c r="D32" s="10">
        <f>+D31+C32</f>
        <v>0.016226851851851853</v>
      </c>
      <c r="E32" s="9">
        <f aca="true" t="shared" si="0" ref="E32:E56">+D32/A32</f>
        <v>0.005408950617283951</v>
      </c>
      <c r="F32" s="144">
        <v>134</v>
      </c>
    </row>
    <row r="33" spans="1:6" ht="15">
      <c r="A33" s="11">
        <v>4</v>
      </c>
      <c r="B33" s="9">
        <v>0.005509259259259259</v>
      </c>
      <c r="C33" s="9">
        <v>0.005381944444444445</v>
      </c>
      <c r="D33" s="10">
        <f aca="true" t="shared" si="1" ref="D33:D55">+D32+C33</f>
        <v>0.0216087962962963</v>
      </c>
      <c r="E33" s="9">
        <f t="shared" si="0"/>
        <v>0.005402199074074075</v>
      </c>
      <c r="F33" s="144">
        <v>130</v>
      </c>
    </row>
    <row r="34" spans="1:6" ht="15">
      <c r="A34" s="14">
        <v>5</v>
      </c>
      <c r="B34" s="9">
        <v>0.005509259259259259</v>
      </c>
      <c r="C34" s="9">
        <v>0.005532407407407407</v>
      </c>
      <c r="D34" s="10">
        <f t="shared" si="1"/>
        <v>0.027141203703703706</v>
      </c>
      <c r="E34" s="9">
        <f t="shared" si="0"/>
        <v>0.005428240740740741</v>
      </c>
      <c r="F34" s="144">
        <v>130</v>
      </c>
    </row>
    <row r="35" spans="1:6" ht="15">
      <c r="A35" s="11">
        <v>6</v>
      </c>
      <c r="B35" s="9">
        <v>0.005509259259259259</v>
      </c>
      <c r="C35" s="9">
        <v>0.005532407407407407</v>
      </c>
      <c r="D35" s="10">
        <f t="shared" si="1"/>
        <v>0.03267361111111111</v>
      </c>
      <c r="E35" s="9">
        <f t="shared" si="0"/>
        <v>0.005445601851851852</v>
      </c>
      <c r="F35" s="144">
        <v>131</v>
      </c>
    </row>
    <row r="36" spans="1:6" ht="15">
      <c r="A36" s="14">
        <v>7</v>
      </c>
      <c r="B36" s="9">
        <v>0.005509259259259259</v>
      </c>
      <c r="C36" s="9">
        <v>0.005613425925925927</v>
      </c>
      <c r="D36" s="10">
        <f t="shared" si="1"/>
        <v>0.038287037037037036</v>
      </c>
      <c r="E36" s="9">
        <f t="shared" si="0"/>
        <v>0.00546957671957672</v>
      </c>
      <c r="F36" s="144">
        <v>129</v>
      </c>
    </row>
    <row r="37" spans="1:8" ht="15">
      <c r="A37" s="14">
        <v>8</v>
      </c>
      <c r="B37" s="9">
        <v>0.005509259259259259</v>
      </c>
      <c r="C37" s="9">
        <v>0.005439814814814815</v>
      </c>
      <c r="D37" s="10">
        <f t="shared" si="1"/>
        <v>0.04372685185185185</v>
      </c>
      <c r="E37" s="9">
        <f t="shared" si="0"/>
        <v>0.005465856481481481</v>
      </c>
      <c r="F37" s="144">
        <v>134</v>
      </c>
      <c r="G37" s="10"/>
      <c r="H37" s="131"/>
    </row>
    <row r="38" spans="1:6" ht="15">
      <c r="A38" s="14">
        <v>9</v>
      </c>
      <c r="B38" s="9">
        <v>0.005509259259259259</v>
      </c>
      <c r="C38" s="9">
        <v>0.005324074074074075</v>
      </c>
      <c r="D38" s="10">
        <f t="shared" si="1"/>
        <v>0.04905092592592593</v>
      </c>
      <c r="E38" s="9">
        <f t="shared" si="0"/>
        <v>0.005450102880658437</v>
      </c>
      <c r="F38" s="144">
        <v>137</v>
      </c>
    </row>
    <row r="39" spans="1:6" ht="15">
      <c r="A39" s="14">
        <v>10</v>
      </c>
      <c r="B39" s="9">
        <v>0.005509259259259259</v>
      </c>
      <c r="C39" s="9">
        <v>0.005543981481481482</v>
      </c>
      <c r="D39" s="10">
        <f t="shared" si="1"/>
        <v>0.05459490740740741</v>
      </c>
      <c r="E39" s="9">
        <f t="shared" si="0"/>
        <v>0.005459490740740741</v>
      </c>
      <c r="F39" s="144">
        <v>132</v>
      </c>
    </row>
    <row r="40" spans="1:6" ht="15">
      <c r="A40" s="14">
        <v>11</v>
      </c>
      <c r="B40" s="9">
        <v>0.005509259259259259</v>
      </c>
      <c r="C40" s="9">
        <v>0.005474537037037037</v>
      </c>
      <c r="D40" s="10">
        <f t="shared" si="1"/>
        <v>0.060069444444444446</v>
      </c>
      <c r="E40" s="9">
        <f t="shared" si="0"/>
        <v>0.005460858585858586</v>
      </c>
      <c r="F40" s="144">
        <v>134</v>
      </c>
    </row>
    <row r="41" spans="1:6" ht="15">
      <c r="A41" s="14">
        <v>12</v>
      </c>
      <c r="B41" s="9">
        <v>0.005509259259259259</v>
      </c>
      <c r="C41" s="9">
        <v>0.005451388888888888</v>
      </c>
      <c r="D41" s="10">
        <f t="shared" si="1"/>
        <v>0.06552083333333333</v>
      </c>
      <c r="E41" s="9">
        <f t="shared" si="0"/>
        <v>0.0054600694444444445</v>
      </c>
      <c r="F41" s="144">
        <v>136</v>
      </c>
    </row>
    <row r="42" spans="1:6" ht="15">
      <c r="A42" s="14">
        <v>13</v>
      </c>
      <c r="B42" s="9">
        <v>0.005509259259259259</v>
      </c>
      <c r="C42" s="9">
        <v>0.005543981481481482</v>
      </c>
      <c r="D42" s="10">
        <f t="shared" si="1"/>
        <v>0.07106481481481482</v>
      </c>
      <c r="E42" s="9">
        <f t="shared" si="0"/>
        <v>0.0054665242165242165</v>
      </c>
      <c r="F42" s="144">
        <v>132</v>
      </c>
    </row>
    <row r="43" spans="1:6" ht="15">
      <c r="A43" s="14">
        <v>14</v>
      </c>
      <c r="B43" s="9">
        <v>0.005509259259259259</v>
      </c>
      <c r="C43" s="9">
        <v>0.00542824074074074</v>
      </c>
      <c r="D43" s="10">
        <f t="shared" si="1"/>
        <v>0.07649305555555555</v>
      </c>
      <c r="E43" s="9">
        <f t="shared" si="0"/>
        <v>0.005463789682539682</v>
      </c>
      <c r="F43" s="144">
        <v>129</v>
      </c>
    </row>
    <row r="44" spans="1:6" ht="15">
      <c r="A44" s="14">
        <v>15</v>
      </c>
      <c r="B44" s="9">
        <v>0.005509259259259259</v>
      </c>
      <c r="C44" s="9">
        <v>0.00542824074074074</v>
      </c>
      <c r="D44" s="10">
        <f t="shared" si="1"/>
        <v>0.0819212962962963</v>
      </c>
      <c r="E44" s="9">
        <f t="shared" si="0"/>
        <v>0.00546141975308642</v>
      </c>
      <c r="F44" s="144">
        <v>129</v>
      </c>
    </row>
    <row r="45" spans="1:6" ht="15">
      <c r="A45" s="11">
        <v>16</v>
      </c>
      <c r="B45" s="9">
        <v>0.005509259259259259</v>
      </c>
      <c r="C45" s="9">
        <v>0.005543981481481482</v>
      </c>
      <c r="D45" s="10">
        <f t="shared" si="1"/>
        <v>0.08746527777777778</v>
      </c>
      <c r="E45" s="9">
        <f t="shared" si="0"/>
        <v>0.005466579861111111</v>
      </c>
      <c r="F45" s="144">
        <v>134</v>
      </c>
    </row>
    <row r="46" spans="1:6" ht="15">
      <c r="A46" s="14">
        <v>17</v>
      </c>
      <c r="B46" s="9">
        <v>0.005509259259259259</v>
      </c>
      <c r="C46" s="9">
        <v>0.005613425925925927</v>
      </c>
      <c r="D46" s="10">
        <f t="shared" si="1"/>
        <v>0.0930787037037037</v>
      </c>
      <c r="E46" s="9">
        <f t="shared" si="0"/>
        <v>0.005475217864923747</v>
      </c>
      <c r="F46" s="144">
        <v>136</v>
      </c>
    </row>
    <row r="47" spans="1:6" ht="15">
      <c r="A47" s="14">
        <v>18</v>
      </c>
      <c r="B47" s="9">
        <v>0.005509259259259259</v>
      </c>
      <c r="C47" s="9">
        <v>0.005520833333333333</v>
      </c>
      <c r="D47" s="10">
        <f t="shared" si="1"/>
        <v>0.09859953703703704</v>
      </c>
      <c r="E47" s="9">
        <f t="shared" si="0"/>
        <v>0.005477752057613169</v>
      </c>
      <c r="F47" s="144">
        <v>135</v>
      </c>
    </row>
    <row r="48" spans="1:6" ht="15">
      <c r="A48" s="14">
        <v>19</v>
      </c>
      <c r="B48" s="9">
        <v>0.005509259259259259</v>
      </c>
      <c r="C48" s="9">
        <v>0.005555555555555556</v>
      </c>
      <c r="D48" s="10">
        <f t="shared" si="1"/>
        <v>0.10415509259259259</v>
      </c>
      <c r="E48" s="9">
        <f t="shared" si="0"/>
        <v>0.005481846978557504</v>
      </c>
      <c r="F48" s="144">
        <v>128</v>
      </c>
    </row>
    <row r="49" spans="1:6" ht="15">
      <c r="A49" s="14">
        <v>20</v>
      </c>
      <c r="B49" s="9">
        <v>0.005509259259259259</v>
      </c>
      <c r="C49" s="9">
        <v>0.005717592592592593</v>
      </c>
      <c r="D49" s="10">
        <f t="shared" si="1"/>
        <v>0.10987268518518518</v>
      </c>
      <c r="E49" s="9">
        <f t="shared" si="0"/>
        <v>0.005493634259259259</v>
      </c>
      <c r="F49" s="144">
        <v>133</v>
      </c>
    </row>
    <row r="50" spans="1:6" ht="15">
      <c r="A50" s="14">
        <v>21</v>
      </c>
      <c r="B50" s="9">
        <v>0.005509259259259259</v>
      </c>
      <c r="C50" s="9">
        <v>0.005671296296296296</v>
      </c>
      <c r="D50" s="10">
        <f t="shared" si="1"/>
        <v>0.11554398148148148</v>
      </c>
      <c r="E50" s="9">
        <f t="shared" si="0"/>
        <v>0.005502094356261023</v>
      </c>
      <c r="F50" s="144">
        <v>136</v>
      </c>
    </row>
    <row r="51" spans="1:6" ht="15">
      <c r="A51" s="14">
        <v>22</v>
      </c>
      <c r="B51" s="9">
        <v>0.005509259259259259</v>
      </c>
      <c r="C51" s="9">
        <v>0.005671296296296296</v>
      </c>
      <c r="D51" s="10">
        <f t="shared" si="1"/>
        <v>0.12121527777777778</v>
      </c>
      <c r="E51" s="9">
        <f t="shared" si="0"/>
        <v>0.0055097853535353535</v>
      </c>
      <c r="F51" s="144">
        <v>136</v>
      </c>
    </row>
    <row r="52" spans="1:6" ht="15">
      <c r="A52" s="14">
        <v>23</v>
      </c>
      <c r="B52" s="9">
        <v>0.005509259259259259</v>
      </c>
      <c r="C52" s="9">
        <v>0.005740740740740742</v>
      </c>
      <c r="D52" s="10">
        <f t="shared" si="1"/>
        <v>0.12695601851851854</v>
      </c>
      <c r="E52" s="9">
        <f t="shared" si="0"/>
        <v>0.005519826892109502</v>
      </c>
      <c r="F52" s="144">
        <v>133</v>
      </c>
    </row>
    <row r="53" spans="1:6" ht="15">
      <c r="A53" s="14">
        <v>24</v>
      </c>
      <c r="B53" s="9">
        <v>0.005509259259259259</v>
      </c>
      <c r="C53" s="9">
        <v>0.005671296296296296</v>
      </c>
      <c r="D53" s="10">
        <f t="shared" si="1"/>
        <v>0.13262731481481482</v>
      </c>
      <c r="E53" s="9">
        <f t="shared" si="0"/>
        <v>0.005526138117283951</v>
      </c>
      <c r="F53" s="144">
        <v>136</v>
      </c>
    </row>
    <row r="54" spans="1:6" ht="15">
      <c r="A54" s="14">
        <v>25</v>
      </c>
      <c r="B54" s="9">
        <v>0.005509259259259259</v>
      </c>
      <c r="C54" s="9">
        <v>0.005914351851851852</v>
      </c>
      <c r="D54" s="10">
        <f t="shared" si="1"/>
        <v>0.13854166666666667</v>
      </c>
      <c r="E54" s="9">
        <f t="shared" si="0"/>
        <v>0.005541666666666667</v>
      </c>
      <c r="F54" s="144">
        <v>135</v>
      </c>
    </row>
    <row r="55" spans="1:6" ht="15">
      <c r="A55" s="14">
        <v>26</v>
      </c>
      <c r="B55" s="9">
        <v>0.005509259259259259</v>
      </c>
      <c r="C55" s="9">
        <v>0.005648148148148148</v>
      </c>
      <c r="D55" s="10">
        <f t="shared" si="1"/>
        <v>0.14418981481481483</v>
      </c>
      <c r="E55" s="9">
        <f t="shared" si="0"/>
        <v>0.005545762108262109</v>
      </c>
      <c r="F55" s="144">
        <v>141</v>
      </c>
    </row>
    <row r="56" spans="1:8" ht="15">
      <c r="A56" s="132">
        <f>42.195/1.609</f>
        <v>26.22436295835923</v>
      </c>
      <c r="B56" s="9">
        <v>0.005509259259259259</v>
      </c>
      <c r="C56" s="9">
        <v>0.005648148148148148</v>
      </c>
      <c r="D56" s="10">
        <f>+D55+C56*(A56-A55)</f>
        <v>0.14545705004258455</v>
      </c>
      <c r="E56" s="9">
        <f t="shared" si="0"/>
        <v>0.0055466380736703055</v>
      </c>
      <c r="F56" s="144">
        <v>141</v>
      </c>
      <c r="G56" s="143"/>
      <c r="H56" s="9"/>
    </row>
    <row r="57" spans="8:11" ht="15">
      <c r="H57" s="12"/>
      <c r="I57" s="12"/>
      <c r="J57" s="12"/>
      <c r="K57" s="12"/>
    </row>
    <row r="58" ht="15">
      <c r="D58" s="10"/>
    </row>
    <row r="59" ht="15">
      <c r="D59" s="10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A1" sqref="A1"/>
    </sheetView>
  </sheetViews>
  <sheetFormatPr defaultColWidth="9.77734375" defaultRowHeight="15"/>
  <cols>
    <col min="1" max="1" width="15.99609375" style="0" customWidth="1"/>
    <col min="2" max="6" width="9.77734375" style="0" customWidth="1"/>
    <col min="8" max="8" width="9.77734375" style="0" customWidth="1"/>
    <col min="9" max="9" width="1.99609375" style="0" customWidth="1"/>
    <col min="10" max="10" width="10.88671875" style="0" bestFit="1" customWidth="1"/>
  </cols>
  <sheetData>
    <row r="1" ht="8.25" customHeight="1" thickBot="1">
      <c r="I1" s="129"/>
    </row>
    <row r="2" spans="1:10" ht="15.75">
      <c r="A2" s="139" t="s">
        <v>2</v>
      </c>
      <c r="B2" s="140"/>
      <c r="C2" s="140"/>
      <c r="D2" s="140"/>
      <c r="E2" s="117" t="s">
        <v>77</v>
      </c>
      <c r="F2" s="177">
        <f>F3/1.609</f>
        <v>26.22436295835923</v>
      </c>
      <c r="G2" s="118"/>
      <c r="H2" s="119"/>
      <c r="I2" s="129"/>
      <c r="J2" s="169" t="s">
        <v>79</v>
      </c>
    </row>
    <row r="3" spans="1:10" ht="15.75">
      <c r="A3" s="167" t="s">
        <v>73</v>
      </c>
      <c r="B3" s="121"/>
      <c r="C3" s="121"/>
      <c r="D3" s="121"/>
      <c r="E3" s="120" t="s">
        <v>78</v>
      </c>
      <c r="F3" s="178">
        <v>42.195</v>
      </c>
      <c r="G3" s="121"/>
      <c r="H3" s="122"/>
      <c r="I3" s="129"/>
      <c r="J3" s="170">
        <v>0.14583333333333334</v>
      </c>
    </row>
    <row r="4" spans="9:10" ht="7.5" customHeight="1">
      <c r="I4" s="129"/>
      <c r="J4" s="171"/>
    </row>
    <row r="5" spans="1:10" ht="15">
      <c r="A5" s="168" t="s">
        <v>74</v>
      </c>
      <c r="B5">
        <f>+B6*60+B7</f>
        <v>200</v>
      </c>
      <c r="C5">
        <f aca="true" t="shared" si="0" ref="C5:J5">+C6*60+C7</f>
        <v>202</v>
      </c>
      <c r="D5">
        <f t="shared" si="0"/>
        <v>204</v>
      </c>
      <c r="E5" s="129">
        <f t="shared" si="0"/>
        <v>206</v>
      </c>
      <c r="F5" s="129">
        <f t="shared" si="0"/>
        <v>208</v>
      </c>
      <c r="G5">
        <f t="shared" si="0"/>
        <v>210</v>
      </c>
      <c r="H5">
        <f t="shared" si="0"/>
        <v>275</v>
      </c>
      <c r="I5" s="129"/>
      <c r="J5" s="171">
        <f t="shared" si="0"/>
        <v>585</v>
      </c>
    </row>
    <row r="6" spans="1:10" ht="15.75">
      <c r="A6" t="s">
        <v>75</v>
      </c>
      <c r="B6" s="116">
        <v>3</v>
      </c>
      <c r="C6" s="116">
        <v>3</v>
      </c>
      <c r="D6" s="116">
        <v>3</v>
      </c>
      <c r="E6" s="130">
        <v>3</v>
      </c>
      <c r="F6" s="130">
        <v>3</v>
      </c>
      <c r="G6" s="116">
        <v>3</v>
      </c>
      <c r="H6" s="116">
        <v>4</v>
      </c>
      <c r="I6" s="129"/>
      <c r="J6" s="172">
        <v>9</v>
      </c>
    </row>
    <row r="7" spans="1:10" ht="15.75">
      <c r="A7" t="s">
        <v>76</v>
      </c>
      <c r="B7" s="116">
        <v>20</v>
      </c>
      <c r="C7" s="116">
        <v>22</v>
      </c>
      <c r="D7" s="116">
        <v>24</v>
      </c>
      <c r="E7" s="130">
        <v>26</v>
      </c>
      <c r="F7" s="130">
        <v>28</v>
      </c>
      <c r="G7" s="116">
        <v>30</v>
      </c>
      <c r="H7" s="116">
        <v>35</v>
      </c>
      <c r="I7" s="129"/>
      <c r="J7" s="172">
        <v>45</v>
      </c>
    </row>
    <row r="8" spans="1:10" ht="15" hidden="1">
      <c r="A8" s="1" t="s">
        <v>0</v>
      </c>
      <c r="B8" s="2"/>
      <c r="C8" s="2"/>
      <c r="D8" s="2"/>
      <c r="E8" s="129"/>
      <c r="F8" s="129"/>
      <c r="G8" s="2"/>
      <c r="H8" s="142"/>
      <c r="I8" s="129"/>
      <c r="J8" s="171"/>
    </row>
    <row r="9" spans="1:10" ht="15" hidden="1">
      <c r="A9" s="3">
        <v>1</v>
      </c>
      <c r="B9" s="7">
        <f aca="true" t="shared" si="1" ref="B9:H9">B5/$A$19/24/60</f>
        <v>0.003291595897354873</v>
      </c>
      <c r="C9" s="7">
        <f t="shared" si="1"/>
        <v>0.003324511856328422</v>
      </c>
      <c r="D9" s="7">
        <f t="shared" si="1"/>
        <v>0.0033574278153019705</v>
      </c>
      <c r="E9" s="123">
        <f t="shared" si="1"/>
        <v>0.0033903437742755197</v>
      </c>
      <c r="F9" s="127">
        <f t="shared" si="1"/>
        <v>0.0034232597332490683</v>
      </c>
      <c r="G9" s="125">
        <f t="shared" si="1"/>
        <v>0.003456175692222617</v>
      </c>
      <c r="H9" s="123">
        <f t="shared" si="1"/>
        <v>0.004525944358862952</v>
      </c>
      <c r="I9" s="129"/>
      <c r="J9" s="127">
        <f>G5/$A$19/24/60+$J$5/24/60</f>
        <v>0.4097061756922226</v>
      </c>
    </row>
    <row r="10" spans="1:10" ht="15" hidden="1">
      <c r="A10" s="3">
        <v>5</v>
      </c>
      <c r="B10" s="7">
        <f aca="true" t="shared" si="2" ref="B10:H10">$A$10*B9</f>
        <v>0.016457979486774365</v>
      </c>
      <c r="C10" s="7">
        <f t="shared" si="2"/>
        <v>0.016622559281642107</v>
      </c>
      <c r="D10" s="7">
        <f t="shared" si="2"/>
        <v>0.016787139076509854</v>
      </c>
      <c r="E10" s="123">
        <f t="shared" si="2"/>
        <v>0.0169517188713776</v>
      </c>
      <c r="F10" s="127">
        <f t="shared" si="2"/>
        <v>0.017116298666245342</v>
      </c>
      <c r="G10" s="125">
        <f t="shared" si="2"/>
        <v>0.017280878461113085</v>
      </c>
      <c r="H10" s="123">
        <f t="shared" si="2"/>
        <v>0.02262972179431476</v>
      </c>
      <c r="I10" s="129"/>
      <c r="J10" s="127">
        <f>+G10+$J$5/24/60</f>
        <v>0.4235308784611131</v>
      </c>
    </row>
    <row r="11" spans="1:10" ht="15" hidden="1">
      <c r="A11" s="3">
        <v>10</v>
      </c>
      <c r="B11" s="7">
        <f aca="true" t="shared" si="3" ref="B11:H11">B9*$A$11</f>
        <v>0.03291595897354873</v>
      </c>
      <c r="C11" s="7">
        <f t="shared" si="3"/>
        <v>0.033245118563284215</v>
      </c>
      <c r="D11" s="7">
        <f t="shared" si="3"/>
        <v>0.03357427815301971</v>
      </c>
      <c r="E11" s="123">
        <f t="shared" si="3"/>
        <v>0.0339034377427552</v>
      </c>
      <c r="F11" s="127">
        <f t="shared" si="3"/>
        <v>0.034232597332490684</v>
      </c>
      <c r="G11" s="125">
        <f t="shared" si="3"/>
        <v>0.03456175692222617</v>
      </c>
      <c r="H11" s="123">
        <f t="shared" si="3"/>
        <v>0.04525944358862952</v>
      </c>
      <c r="I11" s="129"/>
      <c r="J11" s="127">
        <f aca="true" t="shared" si="4" ref="J11:J37">+G11+$J$5/24/60</f>
        <v>0.4408117569222262</v>
      </c>
    </row>
    <row r="12" spans="1:10" ht="15" hidden="1">
      <c r="A12" s="3">
        <v>15</v>
      </c>
      <c r="B12" s="7">
        <f aca="true" t="shared" si="5" ref="B12:H12">B9*$A$12</f>
        <v>0.0493739384603231</v>
      </c>
      <c r="C12" s="7">
        <f t="shared" si="5"/>
        <v>0.04986767784492633</v>
      </c>
      <c r="D12" s="7">
        <f t="shared" si="5"/>
        <v>0.05036141722952956</v>
      </c>
      <c r="E12" s="123">
        <f t="shared" si="5"/>
        <v>0.05085515661413279</v>
      </c>
      <c r="F12" s="127">
        <f t="shared" si="5"/>
        <v>0.05134889599873602</v>
      </c>
      <c r="G12" s="125">
        <f t="shared" si="5"/>
        <v>0.051842635383339254</v>
      </c>
      <c r="H12" s="123">
        <f t="shared" si="5"/>
        <v>0.06788916538294427</v>
      </c>
      <c r="I12" s="129"/>
      <c r="J12" s="127">
        <f t="shared" si="4"/>
        <v>0.4580926353833393</v>
      </c>
    </row>
    <row r="13" spans="1:10" ht="15" hidden="1">
      <c r="A13" s="3">
        <v>20</v>
      </c>
      <c r="B13" s="7">
        <f aca="true" t="shared" si="6" ref="B13:H13">B9*$A$13</f>
        <v>0.06583191794709746</v>
      </c>
      <c r="C13" s="7">
        <f t="shared" si="6"/>
        <v>0.06649023712656843</v>
      </c>
      <c r="D13" s="7">
        <f t="shared" si="6"/>
        <v>0.06714855630603941</v>
      </c>
      <c r="E13" s="123">
        <f t="shared" si="6"/>
        <v>0.0678068754855104</v>
      </c>
      <c r="F13" s="127">
        <f t="shared" si="6"/>
        <v>0.06846519466498137</v>
      </c>
      <c r="G13" s="125">
        <f t="shared" si="6"/>
        <v>0.06912351384445234</v>
      </c>
      <c r="H13" s="123">
        <f t="shared" si="6"/>
        <v>0.09051888717725903</v>
      </c>
      <c r="I13" s="129"/>
      <c r="J13" s="127">
        <f t="shared" si="4"/>
        <v>0.47537351384445237</v>
      </c>
    </row>
    <row r="14" spans="1:10" ht="15" hidden="1">
      <c r="A14" s="138">
        <v>21.1</v>
      </c>
      <c r="B14" s="134">
        <f aca="true" t="shared" si="7" ref="B14:H14">+B19/2</f>
        <v>0.06944444444444443</v>
      </c>
      <c r="C14" s="134">
        <f t="shared" si="7"/>
        <v>0.07013888888888888</v>
      </c>
      <c r="D14" s="134">
        <f t="shared" si="7"/>
        <v>0.07083333333333332</v>
      </c>
      <c r="E14" s="135">
        <f t="shared" si="7"/>
        <v>0.07152777777777777</v>
      </c>
      <c r="F14" s="136">
        <f t="shared" si="7"/>
        <v>0.07222222222222222</v>
      </c>
      <c r="G14" s="137">
        <f t="shared" si="7"/>
        <v>0.07291666666666666</v>
      </c>
      <c r="H14" s="135">
        <f t="shared" si="7"/>
        <v>0.09548611111111113</v>
      </c>
      <c r="I14" s="129"/>
      <c r="J14" s="136">
        <f t="shared" si="4"/>
        <v>0.47916666666666663</v>
      </c>
    </row>
    <row r="15" spans="1:10" ht="15" hidden="1">
      <c r="A15" s="3">
        <v>25</v>
      </c>
      <c r="B15" s="7">
        <f aca="true" t="shared" si="8" ref="B15:H15">B9*$A$15</f>
        <v>0.08228989743387183</v>
      </c>
      <c r="C15" s="7">
        <f t="shared" si="8"/>
        <v>0.08311279640821055</v>
      </c>
      <c r="D15" s="7">
        <f t="shared" si="8"/>
        <v>0.08393569538254926</v>
      </c>
      <c r="E15" s="123">
        <f t="shared" si="8"/>
        <v>0.084758594356888</v>
      </c>
      <c r="F15" s="127">
        <f t="shared" si="8"/>
        <v>0.08558149333122671</v>
      </c>
      <c r="G15" s="125">
        <f t="shared" si="8"/>
        <v>0.08640439230556543</v>
      </c>
      <c r="H15" s="123">
        <f t="shared" si="8"/>
        <v>0.1131486089715738</v>
      </c>
      <c r="I15" s="129"/>
      <c r="J15" s="127">
        <f t="shared" si="4"/>
        <v>0.4926543923055654</v>
      </c>
    </row>
    <row r="16" spans="1:10" ht="15" hidden="1">
      <c r="A16" s="3">
        <v>30</v>
      </c>
      <c r="B16" s="7">
        <f aca="true" t="shared" si="9" ref="B16:H16">B9*$A$16</f>
        <v>0.0987478769206462</v>
      </c>
      <c r="C16" s="7">
        <f t="shared" si="9"/>
        <v>0.09973535568985266</v>
      </c>
      <c r="D16" s="7">
        <f t="shared" si="9"/>
        <v>0.10072283445905912</v>
      </c>
      <c r="E16" s="123">
        <f t="shared" si="9"/>
        <v>0.10171031322826558</v>
      </c>
      <c r="F16" s="127">
        <f t="shared" si="9"/>
        <v>0.10269779199747205</v>
      </c>
      <c r="G16" s="125">
        <f t="shared" si="9"/>
        <v>0.10368527076667851</v>
      </c>
      <c r="H16" s="123">
        <f t="shared" si="9"/>
        <v>0.13577833076588855</v>
      </c>
      <c r="I16" s="129"/>
      <c r="J16" s="127">
        <f t="shared" si="4"/>
        <v>0.5099352707666786</v>
      </c>
    </row>
    <row r="17" spans="1:10" ht="15" hidden="1">
      <c r="A17" s="3">
        <v>35</v>
      </c>
      <c r="B17" s="7">
        <f aca="true" t="shared" si="10" ref="B17:H17">B9*$A$17</f>
        <v>0.11520585640742056</v>
      </c>
      <c r="C17" s="7">
        <f t="shared" si="10"/>
        <v>0.11635791497149477</v>
      </c>
      <c r="D17" s="7">
        <f t="shared" si="10"/>
        <v>0.11750997353556897</v>
      </c>
      <c r="E17" s="123">
        <f t="shared" si="10"/>
        <v>0.11866203209964318</v>
      </c>
      <c r="F17" s="127">
        <f t="shared" si="10"/>
        <v>0.1198140906637174</v>
      </c>
      <c r="G17" s="125">
        <f t="shared" si="10"/>
        <v>0.1209661492277916</v>
      </c>
      <c r="H17" s="123">
        <f t="shared" si="10"/>
        <v>0.15840805256020332</v>
      </c>
      <c r="I17" s="129"/>
      <c r="J17" s="127">
        <f t="shared" si="4"/>
        <v>0.5272161492277916</v>
      </c>
    </row>
    <row r="18" spans="1:10" ht="15" hidden="1">
      <c r="A18" s="3">
        <v>40</v>
      </c>
      <c r="B18" s="7">
        <f aca="true" t="shared" si="11" ref="B18:H18">B9*$A$18</f>
        <v>0.13166383589419492</v>
      </c>
      <c r="C18" s="7">
        <f t="shared" si="11"/>
        <v>0.13298047425313686</v>
      </c>
      <c r="D18" s="7">
        <f t="shared" si="11"/>
        <v>0.13429711261207883</v>
      </c>
      <c r="E18" s="123">
        <f t="shared" si="11"/>
        <v>0.1356137509710208</v>
      </c>
      <c r="F18" s="127">
        <f t="shared" si="11"/>
        <v>0.13693038932996274</v>
      </c>
      <c r="G18" s="125">
        <f t="shared" si="11"/>
        <v>0.13824702768890468</v>
      </c>
      <c r="H18" s="123">
        <f t="shared" si="11"/>
        <v>0.18103777435451807</v>
      </c>
      <c r="I18" s="129"/>
      <c r="J18" s="127">
        <f t="shared" si="4"/>
        <v>0.5444970276889047</v>
      </c>
    </row>
    <row r="19" spans="1:10" ht="15" hidden="1">
      <c r="A19" s="6">
        <f>+F3</f>
        <v>42.195</v>
      </c>
      <c r="B19" s="8">
        <f aca="true" t="shared" si="12" ref="B19:H19">B9*$A$19</f>
        <v>0.13888888888888887</v>
      </c>
      <c r="C19" s="8">
        <f t="shared" si="12"/>
        <v>0.14027777777777775</v>
      </c>
      <c r="D19" s="8">
        <f t="shared" si="12"/>
        <v>0.14166666666666664</v>
      </c>
      <c r="E19" s="123">
        <f t="shared" si="12"/>
        <v>0.14305555555555555</v>
      </c>
      <c r="F19" s="127">
        <f t="shared" si="12"/>
        <v>0.14444444444444443</v>
      </c>
      <c r="G19" s="125">
        <f t="shared" si="12"/>
        <v>0.14583333333333331</v>
      </c>
      <c r="H19" s="123">
        <f t="shared" si="12"/>
        <v>0.19097222222222227</v>
      </c>
      <c r="I19" s="129"/>
      <c r="J19" s="127">
        <f t="shared" si="4"/>
        <v>0.5520833333333333</v>
      </c>
    </row>
    <row r="20" spans="2:10" ht="9" customHeight="1">
      <c r="B20" s="4"/>
      <c r="C20" s="4"/>
      <c r="D20" s="4"/>
      <c r="E20" s="173"/>
      <c r="F20" s="174"/>
      <c r="G20" s="175"/>
      <c r="H20" s="176"/>
      <c r="I20" s="129"/>
      <c r="J20" s="136"/>
    </row>
    <row r="21" spans="1:10" ht="15">
      <c r="A21" s="1" t="s">
        <v>1</v>
      </c>
      <c r="B21" s="5"/>
      <c r="C21" s="5"/>
      <c r="D21" s="5"/>
      <c r="E21" s="124"/>
      <c r="F21" s="128"/>
      <c r="G21" s="126"/>
      <c r="H21" s="5"/>
      <c r="I21" s="129"/>
      <c r="J21" s="127"/>
    </row>
    <row r="22" spans="1:10" ht="15">
      <c r="A22" s="3">
        <v>1</v>
      </c>
      <c r="B22" s="7">
        <f aca="true" t="shared" si="13" ref="B22:H22">B5/$A$37/24/60</f>
        <v>0.005296177798843992</v>
      </c>
      <c r="C22" s="7">
        <f t="shared" si="13"/>
        <v>0.005349139576832432</v>
      </c>
      <c r="D22" s="7">
        <f t="shared" si="13"/>
        <v>0.005402101354820872</v>
      </c>
      <c r="E22" s="123">
        <f t="shared" si="13"/>
        <v>0.005455063132809312</v>
      </c>
      <c r="F22" s="127">
        <f t="shared" si="13"/>
        <v>0.005508024910797752</v>
      </c>
      <c r="G22" s="125">
        <f t="shared" si="13"/>
        <v>0.005560986688786191</v>
      </c>
      <c r="H22" s="7">
        <f t="shared" si="13"/>
        <v>0.007282244473410488</v>
      </c>
      <c r="I22" s="129"/>
      <c r="J22" s="127">
        <f t="shared" si="4"/>
        <v>0.4118109866887862</v>
      </c>
    </row>
    <row r="23" spans="1:10" ht="15">
      <c r="A23" s="3">
        <v>5</v>
      </c>
      <c r="B23" s="7">
        <f aca="true" t="shared" si="14" ref="B23:H23">B22*$A$23</f>
        <v>0.026480888994219957</v>
      </c>
      <c r="C23" s="7">
        <f t="shared" si="14"/>
        <v>0.02674569788416216</v>
      </c>
      <c r="D23" s="7">
        <f t="shared" si="14"/>
        <v>0.02701050677410436</v>
      </c>
      <c r="E23" s="123">
        <f t="shared" si="14"/>
        <v>0.02727531566404656</v>
      </c>
      <c r="F23" s="127">
        <f t="shared" si="14"/>
        <v>0.027540124553988757</v>
      </c>
      <c r="G23" s="125">
        <f t="shared" si="14"/>
        <v>0.027804933443930955</v>
      </c>
      <c r="H23" s="7">
        <f t="shared" si="14"/>
        <v>0.03641122236705244</v>
      </c>
      <c r="I23" s="129"/>
      <c r="J23" s="127">
        <f t="shared" si="4"/>
        <v>0.434054933443931</v>
      </c>
    </row>
    <row r="24" spans="1:10" ht="15">
      <c r="A24" s="3">
        <v>10</v>
      </c>
      <c r="B24" s="7">
        <f aca="true" t="shared" si="15" ref="B24:H24">B22*$A$24</f>
        <v>0.052961777988439915</v>
      </c>
      <c r="C24" s="7">
        <f t="shared" si="15"/>
        <v>0.05349139576832432</v>
      </c>
      <c r="D24" s="7">
        <f t="shared" si="15"/>
        <v>0.05402101354820872</v>
      </c>
      <c r="E24" s="123">
        <f t="shared" si="15"/>
        <v>0.05455063132809312</v>
      </c>
      <c r="F24" s="127">
        <f t="shared" si="15"/>
        <v>0.055080249107977514</v>
      </c>
      <c r="G24" s="125">
        <f t="shared" si="15"/>
        <v>0.05560986688786191</v>
      </c>
      <c r="H24" s="7">
        <f t="shared" si="15"/>
        <v>0.07282244473410487</v>
      </c>
      <c r="I24" s="129"/>
      <c r="J24" s="127">
        <f t="shared" si="4"/>
        <v>0.4618598668878619</v>
      </c>
    </row>
    <row r="25" spans="1:10" ht="15">
      <c r="A25" s="133">
        <f>+A37/2</f>
        <v>13.112181479179615</v>
      </c>
      <c r="B25" s="134">
        <f>B22*$A$25</f>
        <v>0.06944444444444445</v>
      </c>
      <c r="C25" s="134">
        <f aca="true" t="shared" si="16" ref="C25:H25">C22*$A$25</f>
        <v>0.07013888888888889</v>
      </c>
      <c r="D25" s="134">
        <f t="shared" si="16"/>
        <v>0.07083333333333335</v>
      </c>
      <c r="E25" s="135">
        <f t="shared" si="16"/>
        <v>0.07152777777777779</v>
      </c>
      <c r="F25" s="136">
        <f t="shared" si="16"/>
        <v>0.07222222222222223</v>
      </c>
      <c r="G25" s="137">
        <f t="shared" si="16"/>
        <v>0.07291666666666666</v>
      </c>
      <c r="H25" s="134">
        <f t="shared" si="16"/>
        <v>0.0954861111111111</v>
      </c>
      <c r="I25" s="129"/>
      <c r="J25" s="136">
        <f t="shared" si="4"/>
        <v>0.47916666666666663</v>
      </c>
    </row>
    <row r="26" spans="1:10" ht="15">
      <c r="A26" s="3">
        <v>15</v>
      </c>
      <c r="B26" s="7">
        <f aca="true" t="shared" si="17" ref="B26:H26">B22*$A$26</f>
        <v>0.07944266698265988</v>
      </c>
      <c r="C26" s="7">
        <f t="shared" si="17"/>
        <v>0.08023709365248648</v>
      </c>
      <c r="D26" s="7">
        <f t="shared" si="17"/>
        <v>0.08103152032231307</v>
      </c>
      <c r="E26" s="123">
        <f t="shared" si="17"/>
        <v>0.08182594699213967</v>
      </c>
      <c r="F26" s="127">
        <f t="shared" si="17"/>
        <v>0.08262037366196627</v>
      </c>
      <c r="G26" s="125">
        <f t="shared" si="17"/>
        <v>0.08341480033179287</v>
      </c>
      <c r="H26" s="7">
        <f t="shared" si="17"/>
        <v>0.10923366710115733</v>
      </c>
      <c r="I26" s="129"/>
      <c r="J26" s="127">
        <f t="shared" si="4"/>
        <v>0.4896648003317929</v>
      </c>
    </row>
    <row r="27" spans="1:10" ht="15">
      <c r="A27" s="3">
        <v>16</v>
      </c>
      <c r="B27" s="7">
        <f>B22*$A$27</f>
        <v>0.08473884478150387</v>
      </c>
      <c r="C27" s="7">
        <f aca="true" t="shared" si="18" ref="C27:H27">C22*$A$27</f>
        <v>0.08558623322931891</v>
      </c>
      <c r="D27" s="7">
        <f t="shared" si="18"/>
        <v>0.08643362167713395</v>
      </c>
      <c r="E27" s="123">
        <f t="shared" si="18"/>
        <v>0.08728101012494899</v>
      </c>
      <c r="F27" s="127">
        <f t="shared" si="18"/>
        <v>0.08812839857276403</v>
      </c>
      <c r="G27" s="125">
        <f t="shared" si="18"/>
        <v>0.08897578702057905</v>
      </c>
      <c r="H27" s="7">
        <f t="shared" si="18"/>
        <v>0.11651591157456781</v>
      </c>
      <c r="I27" s="129"/>
      <c r="J27" s="127">
        <f t="shared" si="4"/>
        <v>0.49522578702057907</v>
      </c>
    </row>
    <row r="28" spans="1:10" ht="15">
      <c r="A28" s="3">
        <v>17</v>
      </c>
      <c r="B28" s="7">
        <f>B22*$A$28</f>
        <v>0.09003502258034786</v>
      </c>
      <c r="C28" s="7">
        <f aca="true" t="shared" si="19" ref="C28:H28">C22*$A$28</f>
        <v>0.09093537280615134</v>
      </c>
      <c r="D28" s="7">
        <f t="shared" si="19"/>
        <v>0.09183572303195482</v>
      </c>
      <c r="E28" s="123">
        <f t="shared" si="19"/>
        <v>0.0927360732577583</v>
      </c>
      <c r="F28" s="127">
        <f t="shared" si="19"/>
        <v>0.09363642348356178</v>
      </c>
      <c r="G28" s="125">
        <f t="shared" si="19"/>
        <v>0.09453677370936524</v>
      </c>
      <c r="H28" s="7">
        <f t="shared" si="19"/>
        <v>0.1237981560479783</v>
      </c>
      <c r="I28" s="129"/>
      <c r="J28" s="127">
        <f t="shared" si="4"/>
        <v>0.5007867737093652</v>
      </c>
    </row>
    <row r="29" spans="1:10" ht="15">
      <c r="A29" s="3">
        <v>18</v>
      </c>
      <c r="B29" s="7">
        <f>B22*$A$29</f>
        <v>0.09533120037919185</v>
      </c>
      <c r="C29" s="7">
        <f aca="true" t="shared" si="20" ref="C29:H29">C22*$A$29</f>
        <v>0.09628451238298377</v>
      </c>
      <c r="D29" s="7">
        <f t="shared" si="20"/>
        <v>0.0972378243867757</v>
      </c>
      <c r="E29" s="123">
        <f t="shared" si="20"/>
        <v>0.09819113639056762</v>
      </c>
      <c r="F29" s="127">
        <f t="shared" si="20"/>
        <v>0.09914444839435953</v>
      </c>
      <c r="G29" s="125">
        <f t="shared" si="20"/>
        <v>0.10009776039815144</v>
      </c>
      <c r="H29" s="7">
        <f t="shared" si="20"/>
        <v>0.13108040052138878</v>
      </c>
      <c r="I29" s="129"/>
      <c r="J29" s="127">
        <f t="shared" si="4"/>
        <v>0.5063477603981514</v>
      </c>
    </row>
    <row r="30" spans="1:10" ht="15">
      <c r="A30" s="3">
        <v>19</v>
      </c>
      <c r="B30" s="7">
        <f>B22*$A$30</f>
        <v>0.10062737817803584</v>
      </c>
      <c r="C30" s="7">
        <f aca="true" t="shared" si="21" ref="C30:H30">C22*$A$30</f>
        <v>0.1016336519598162</v>
      </c>
      <c r="D30" s="7">
        <f t="shared" si="21"/>
        <v>0.10263992574159657</v>
      </c>
      <c r="E30" s="123">
        <f t="shared" si="21"/>
        <v>0.10364619952337692</v>
      </c>
      <c r="F30" s="127">
        <f t="shared" si="21"/>
        <v>0.10465247330515728</v>
      </c>
      <c r="G30" s="125">
        <f t="shared" si="21"/>
        <v>0.10565874708693762</v>
      </c>
      <c r="H30" s="7">
        <f t="shared" si="21"/>
        <v>0.13836264499479928</v>
      </c>
      <c r="I30" s="129"/>
      <c r="J30" s="127">
        <f t="shared" si="4"/>
        <v>0.5119087470869377</v>
      </c>
    </row>
    <row r="31" spans="1:10" ht="15">
      <c r="A31" s="138">
        <v>20</v>
      </c>
      <c r="B31" s="134">
        <f>B22*$A$31</f>
        <v>0.10592355597687983</v>
      </c>
      <c r="C31" s="134">
        <f aca="true" t="shared" si="22" ref="C31:H31">C22*$A$31</f>
        <v>0.10698279153664864</v>
      </c>
      <c r="D31" s="134">
        <f t="shared" si="22"/>
        <v>0.10804202709641744</v>
      </c>
      <c r="E31" s="135">
        <f t="shared" si="22"/>
        <v>0.10910126265618623</v>
      </c>
      <c r="F31" s="136">
        <f t="shared" si="22"/>
        <v>0.11016049821595503</v>
      </c>
      <c r="G31" s="137">
        <f t="shared" si="22"/>
        <v>0.11121973377572382</v>
      </c>
      <c r="H31" s="134">
        <f t="shared" si="22"/>
        <v>0.14564488946820975</v>
      </c>
      <c r="I31" s="129"/>
      <c r="J31" s="136">
        <f t="shared" si="4"/>
        <v>0.5174697337757238</v>
      </c>
    </row>
    <row r="32" spans="1:10" ht="15">
      <c r="A32" s="3">
        <v>21</v>
      </c>
      <c r="B32" s="7">
        <f>B22*$A$32</f>
        <v>0.11121973377572383</v>
      </c>
      <c r="C32" s="7">
        <f aca="true" t="shared" si="23" ref="C32:H32">C22*$A$32</f>
        <v>0.11233193111348107</v>
      </c>
      <c r="D32" s="7">
        <f t="shared" si="23"/>
        <v>0.1134441284512383</v>
      </c>
      <c r="E32" s="123">
        <f t="shared" si="23"/>
        <v>0.11455632578899555</v>
      </c>
      <c r="F32" s="127">
        <f t="shared" si="23"/>
        <v>0.11566852312675278</v>
      </c>
      <c r="G32" s="125">
        <f t="shared" si="23"/>
        <v>0.11678072046451</v>
      </c>
      <c r="H32" s="7">
        <f t="shared" si="23"/>
        <v>0.15292713394162025</v>
      </c>
      <c r="I32" s="129"/>
      <c r="J32" s="127">
        <f t="shared" si="4"/>
        <v>0.52303072046451</v>
      </c>
    </row>
    <row r="33" spans="1:10" ht="15">
      <c r="A33" s="3">
        <v>22</v>
      </c>
      <c r="B33" s="7">
        <f>B22*$A$33</f>
        <v>0.11651591157456782</v>
      </c>
      <c r="C33" s="7">
        <f aca="true" t="shared" si="24" ref="C33:H33">C22*$A$33</f>
        <v>0.1176810706903135</v>
      </c>
      <c r="D33" s="7">
        <f t="shared" si="24"/>
        <v>0.11884622980605918</v>
      </c>
      <c r="E33" s="123">
        <f t="shared" si="24"/>
        <v>0.12001138892180485</v>
      </c>
      <c r="F33" s="127">
        <f t="shared" si="24"/>
        <v>0.12117654803755054</v>
      </c>
      <c r="G33" s="125">
        <f t="shared" si="24"/>
        <v>0.1223417071532962</v>
      </c>
      <c r="H33" s="7">
        <f t="shared" si="24"/>
        <v>0.16020937841503075</v>
      </c>
      <c r="I33" s="129"/>
      <c r="J33" s="127">
        <f t="shared" si="4"/>
        <v>0.5285917071532962</v>
      </c>
    </row>
    <row r="34" spans="1:10" ht="15">
      <c r="A34" s="3">
        <v>23</v>
      </c>
      <c r="B34" s="7">
        <f>B22*$A$34</f>
        <v>0.12181208937341181</v>
      </c>
      <c r="C34" s="7">
        <f aca="true" t="shared" si="25" ref="C34:H34">C22*$A$34</f>
        <v>0.12303021026714593</v>
      </c>
      <c r="D34" s="7">
        <f t="shared" si="25"/>
        <v>0.12424833116088005</v>
      </c>
      <c r="E34" s="123">
        <f t="shared" si="25"/>
        <v>0.12546645205461418</v>
      </c>
      <c r="F34" s="127">
        <f t="shared" si="25"/>
        <v>0.12668457294834828</v>
      </c>
      <c r="G34" s="125">
        <f t="shared" si="25"/>
        <v>0.1279026938420824</v>
      </c>
      <c r="H34" s="7">
        <f t="shared" si="25"/>
        <v>0.16749162288844122</v>
      </c>
      <c r="I34" s="129"/>
      <c r="J34" s="127">
        <f t="shared" si="4"/>
        <v>0.5341526938420824</v>
      </c>
    </row>
    <row r="35" spans="1:10" ht="15">
      <c r="A35" s="3">
        <v>24</v>
      </c>
      <c r="B35" s="7">
        <f>B22*$A$35</f>
        <v>0.12710826717225582</v>
      </c>
      <c r="C35" s="7">
        <f aca="true" t="shared" si="26" ref="C35:H35">C22*$A$35</f>
        <v>0.12837934984397836</v>
      </c>
      <c r="D35" s="7">
        <f t="shared" si="26"/>
        <v>0.1296504325157009</v>
      </c>
      <c r="E35" s="123">
        <f t="shared" si="26"/>
        <v>0.13092151518742348</v>
      </c>
      <c r="F35" s="127">
        <f t="shared" si="26"/>
        <v>0.13219259785914605</v>
      </c>
      <c r="G35" s="125">
        <f t="shared" si="26"/>
        <v>0.13346368053086857</v>
      </c>
      <c r="H35" s="7">
        <f t="shared" si="26"/>
        <v>0.17477386736185171</v>
      </c>
      <c r="I35" s="129"/>
      <c r="J35" s="127">
        <f t="shared" si="4"/>
        <v>0.5397136805308685</v>
      </c>
    </row>
    <row r="36" spans="1:10" ht="15">
      <c r="A36" s="3">
        <v>25</v>
      </c>
      <c r="B36" s="7">
        <f aca="true" t="shared" si="27" ref="B36:H36">B22*$A$36</f>
        <v>0.1324044449710998</v>
      </c>
      <c r="C36" s="7">
        <f t="shared" si="27"/>
        <v>0.13372848942081078</v>
      </c>
      <c r="D36" s="7">
        <f t="shared" si="27"/>
        <v>0.1350525338705218</v>
      </c>
      <c r="E36" s="123">
        <f t="shared" si="27"/>
        <v>0.13637657832023278</v>
      </c>
      <c r="F36" s="127">
        <f t="shared" si="27"/>
        <v>0.1377006227699438</v>
      </c>
      <c r="G36" s="125">
        <f t="shared" si="27"/>
        <v>0.13902466721965476</v>
      </c>
      <c r="H36" s="7">
        <f t="shared" si="27"/>
        <v>0.1820561118352622</v>
      </c>
      <c r="I36" s="129"/>
      <c r="J36" s="127">
        <f t="shared" si="4"/>
        <v>0.5452746672196548</v>
      </c>
    </row>
    <row r="37" spans="1:10" ht="15.75" thickBot="1">
      <c r="A37" s="179">
        <f>F2</f>
        <v>26.22436295835923</v>
      </c>
      <c r="B37" s="137">
        <f aca="true" t="shared" si="28" ref="B37:H37">B22*$A$37</f>
        <v>0.1388888888888889</v>
      </c>
      <c r="C37" s="134">
        <f t="shared" si="28"/>
        <v>0.14027777777777778</v>
      </c>
      <c r="D37" s="134">
        <f t="shared" si="28"/>
        <v>0.1416666666666667</v>
      </c>
      <c r="E37" s="135">
        <f t="shared" si="28"/>
        <v>0.14305555555555557</v>
      </c>
      <c r="F37" s="136">
        <f t="shared" si="28"/>
        <v>0.14444444444444446</v>
      </c>
      <c r="G37" s="137">
        <f t="shared" si="28"/>
        <v>0.14583333333333331</v>
      </c>
      <c r="H37" s="134">
        <f t="shared" si="28"/>
        <v>0.1909722222222222</v>
      </c>
      <c r="I37" s="129"/>
      <c r="J37" s="141">
        <f t="shared" si="4"/>
        <v>0.5520833333333333</v>
      </c>
    </row>
  </sheetData>
  <printOptions/>
  <pageMargins left="0.75" right="0.75" top="1" bottom="1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Al Bundy</cp:lastModifiedBy>
  <cp:lastPrinted>2002-04-11T20:27:38Z</cp:lastPrinted>
  <dcterms:created xsi:type="dcterms:W3CDTF">1999-03-16T22:30:06Z</dcterms:created>
  <dcterms:modified xsi:type="dcterms:W3CDTF">2002-04-17T20:21:18Z</dcterms:modified>
  <cp:category/>
  <cp:version/>
  <cp:contentType/>
  <cp:contentStatus/>
</cp:coreProperties>
</file>