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25" windowWidth="11340" windowHeight="6600" activeTab="0"/>
  </bookViews>
  <sheets>
    <sheet name="training schedule" sheetId="1" r:id="rId1"/>
    <sheet name="analyse" sheetId="2" r:id="rId2"/>
    <sheet name="race pace 1" sheetId="3" r:id="rId3"/>
    <sheet name="race pace 2" sheetId="4" r:id="rId4"/>
  </sheets>
  <definedNames>
    <definedName name="_Fill" hidden="1">'training schedule'!#REF!</definedName>
    <definedName name="dbdi">'training schedule'!$AE$7:$AE$20</definedName>
    <definedName name="dbdiist">'training schedule'!$AE$24:$AE$36</definedName>
    <definedName name="dbdo">'training schedule'!$AG$7:$AG$20</definedName>
    <definedName name="dbdoist">'training schedule'!$AG$24:$AG$36</definedName>
    <definedName name="dbfr">'training schedule'!$AH$7:$AH$20</definedName>
    <definedName name="dbfrist">'training schedule'!$AH$24:$AH$36</definedName>
    <definedName name="dbmi">'training schedule'!$AF$7:$AF$20</definedName>
    <definedName name="dbmiist">'training schedule'!$AF$24:$AF$36</definedName>
    <definedName name="dbmo">'training schedule'!$AD$7:$AD$20</definedName>
    <definedName name="dbmoist">'training schedule'!$AD$24:$AD$36</definedName>
    <definedName name="dbsa">'training schedule'!$AI$7:$AI$20</definedName>
    <definedName name="dbsaist">'training schedule'!$AI$24:$AI$36</definedName>
    <definedName name="dbso">'training schedule'!$AJ$7:$AJ$20</definedName>
    <definedName name="dbsoist">'training schedule'!$AJ$24:$AJ$37</definedName>
    <definedName name="_xlnm.Print_Area" localSheetId="0">'training schedule'!$A$1:$U$47</definedName>
  </definedNames>
  <calcPr fullCalcOnLoad="1"/>
</workbook>
</file>

<file path=xl/sharedStrings.xml><?xml version="1.0" encoding="utf-8"?>
<sst xmlns="http://schemas.openxmlformats.org/spreadsheetml/2006/main" count="337" uniqueCount="112">
  <si>
    <t>W</t>
  </si>
  <si>
    <t>week</t>
  </si>
  <si>
    <t>mo</t>
  </si>
  <si>
    <t>tu</t>
  </si>
  <si>
    <t>we</t>
  </si>
  <si>
    <t>th</t>
  </si>
  <si>
    <t>fr</t>
  </si>
  <si>
    <t>sa</t>
  </si>
  <si>
    <t>su</t>
  </si>
  <si>
    <t>from</t>
  </si>
  <si>
    <t>to</t>
  </si>
  <si>
    <t>-</t>
  </si>
  <si>
    <t>R</t>
  </si>
  <si>
    <t>schedule</t>
  </si>
  <si>
    <t>average week 12 to 1</t>
  </si>
  <si>
    <t>L</t>
  </si>
  <si>
    <t>M</t>
  </si>
  <si>
    <t>S</t>
  </si>
  <si>
    <t>recovery</t>
  </si>
  <si>
    <t>MaxHR</t>
  </si>
  <si>
    <t>Slow</t>
  </si>
  <si>
    <t>Intervals I</t>
  </si>
  <si>
    <t>Intervals II</t>
  </si>
  <si>
    <t>5K speed</t>
  </si>
  <si>
    <t>updated:</t>
  </si>
  <si>
    <t>to go</t>
  </si>
  <si>
    <t>days</t>
  </si>
  <si>
    <t>done</t>
  </si>
  <si>
    <t>max done</t>
  </si>
  <si>
    <t>max sched</t>
  </si>
  <si>
    <t>diff</t>
  </si>
  <si>
    <t>12 week schedule</t>
  </si>
  <si>
    <t>Endzeit</t>
  </si>
  <si>
    <t xml:space="preserve"> </t>
  </si>
  <si>
    <t>miles</t>
  </si>
  <si>
    <t>diff. to schedule so far</t>
  </si>
  <si>
    <t>= min/km</t>
  </si>
  <si>
    <t>min/km</t>
  </si>
  <si>
    <t>= min/mile</t>
  </si>
  <si>
    <t>total</t>
  </si>
  <si>
    <t>Med I</t>
  </si>
  <si>
    <t>Med II</t>
  </si>
  <si>
    <t>Mar.spd.</t>
  </si>
  <si>
    <t>= 400m</t>
  </si>
  <si>
    <t>= 800m</t>
  </si>
  <si>
    <t>= 600m</t>
  </si>
  <si>
    <t>km/h</t>
  </si>
  <si>
    <t>= km/h</t>
  </si>
  <si>
    <t>avrg forecast based on diff.</t>
  </si>
  <si>
    <t>time</t>
  </si>
  <si>
    <t>hours</t>
  </si>
  <si>
    <t>minutes</t>
  </si>
  <si>
    <t>race pacing</t>
  </si>
  <si>
    <t>spectators</t>
  </si>
  <si>
    <t>Ø min/mile</t>
  </si>
  <si>
    <t>Ø min/K</t>
  </si>
  <si>
    <t>k</t>
  </si>
  <si>
    <t>km</t>
  </si>
  <si>
    <t>Ist kum</t>
  </si>
  <si>
    <t>Puls</t>
  </si>
  <si>
    <t>Tp Soll</t>
  </si>
  <si>
    <t>Tp Ist</t>
  </si>
  <si>
    <t>Tp Ist kum</t>
  </si>
  <si>
    <t>Armband-Aufkleber</t>
  </si>
  <si>
    <t>training for London 2004</t>
  </si>
  <si>
    <t>target: 3:19</t>
  </si>
  <si>
    <t>Hamm 10K</t>
  </si>
  <si>
    <t>The Big Day</t>
  </si>
  <si>
    <t>travel</t>
  </si>
  <si>
    <t>Syltlauf 33,3K</t>
  </si>
  <si>
    <t>gym</t>
  </si>
  <si>
    <t>business</t>
  </si>
  <si>
    <t>packing</t>
  </si>
  <si>
    <t>Easter</t>
  </si>
  <si>
    <t>kilos</t>
  </si>
  <si>
    <t>(Dezimale für Skala)</t>
  </si>
  <si>
    <t>pace calculator</t>
  </si>
  <si>
    <t>race date</t>
  </si>
  <si>
    <t>kum</t>
  </si>
  <si>
    <t>total week 12 to 1</t>
  </si>
  <si>
    <r>
      <t xml:space="preserve">distances in K  /  R = recovery / L = slow / M = medium / S = speed / </t>
    </r>
    <r>
      <rPr>
        <sz val="10"/>
        <color indexed="10"/>
        <rFont val="Arial"/>
        <family val="2"/>
      </rPr>
      <t>W = Race</t>
    </r>
  </si>
  <si>
    <t>S= 4x2K (9:14 = 13kmh)</t>
  </si>
  <si>
    <t>S= 6x1K (4:27 = 13,5kmh)</t>
  </si>
  <si>
    <t>Apeldoorn 27,4K (2:09)</t>
  </si>
  <si>
    <t>S= 4x2K (9:36 = 12,5kmh)</t>
  </si>
  <si>
    <t>M= pyramid (8,5-13kmh)</t>
  </si>
  <si>
    <t>duathlon cross relay</t>
  </si>
  <si>
    <t>download this excel-file</t>
  </si>
  <si>
    <t>S= 5x2K (9:36 = 12,5kmh)</t>
  </si>
  <si>
    <t>holiday Guernsey</t>
  </si>
  <si>
    <t>holiday Jersey</t>
  </si>
  <si>
    <t>2:34:27 (=4:38min/K)</t>
  </si>
  <si>
    <t>long run incl. HM 1:48</t>
  </si>
  <si>
    <t>Bochumer Uni-Run</t>
  </si>
  <si>
    <t>&gt;=20</t>
  </si>
  <si>
    <t>&gt;=30</t>
  </si>
  <si>
    <t>di</t>
  </si>
  <si>
    <t>mi</t>
  </si>
  <si>
    <t>do</t>
  </si>
  <si>
    <t>so</t>
  </si>
  <si>
    <t>&gt;=25</t>
  </si>
  <si>
    <t>&gt;=20K</t>
  </si>
  <si>
    <t>&gt;=25K</t>
  </si>
  <si>
    <t>&gt;=30K</t>
  </si>
  <si>
    <t>whole schedule</t>
  </si>
  <si>
    <t>done until today</t>
  </si>
  <si>
    <t>number of long runs</t>
  </si>
  <si>
    <t>m</t>
  </si>
  <si>
    <t>min/Meile</t>
  </si>
  <si>
    <t>HM</t>
  </si>
  <si>
    <t>Meile</t>
  </si>
  <si>
    <t>Tp Ist /km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</si>
</sst>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/mm/yy_)"/>
    <numFmt numFmtId="174" formatCode="#,##0.0_);\(#,##0.0\)"/>
    <numFmt numFmtId="175" formatCode="#,##0.000_);\(#,##0.000\)"/>
    <numFmt numFmtId="176" formatCode="#,##0.00_);\(#,##0.00\)"/>
    <numFmt numFmtId="177" formatCode="#,##0_);\(#,##0\)"/>
    <numFmt numFmtId="178" formatCode="0.000"/>
    <numFmt numFmtId="179" formatCode="0.0"/>
    <numFmt numFmtId="180" formatCode="0.00000"/>
    <numFmt numFmtId="181" formatCode="0.0000"/>
    <numFmt numFmtId="182" formatCode="0.0_ ;\-0.0\ "/>
    <numFmt numFmtId="183" formatCode="0.0%"/>
    <numFmt numFmtId="184" formatCode="00"/>
    <numFmt numFmtId="185" formatCode="d/m/yy\ h:mm"/>
    <numFmt numFmtId="186" formatCode="h:mm"/>
    <numFmt numFmtId="187" formatCode="0.0000000"/>
    <numFmt numFmtId="188" formatCode="0.000000"/>
    <numFmt numFmtId="189" formatCode="0.00000000"/>
    <numFmt numFmtId="190" formatCode="0.000000000"/>
    <numFmt numFmtId="191" formatCode=";;;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0.0\ \ "/>
    <numFmt numFmtId="196" formatCode="0.0\ "/>
    <numFmt numFmtId="197" formatCode="dd/mm/"/>
    <numFmt numFmtId="198" formatCode="\+0.0;\-0.0"/>
    <numFmt numFmtId="199" formatCode="\+\ 0.0;\-\ 0.0;0.0;"/>
    <numFmt numFmtId="200" formatCode="h:mm:ss"/>
    <numFmt numFmtId="201" formatCode="[$€-2]\ #,##0.00_);[Red]\([$€-2]\ #,##0.00\)"/>
    <numFmt numFmtId="202" formatCode="0\ "/>
  </numFmts>
  <fonts count="37">
    <font>
      <sz val="12"/>
      <name val="Arial MT"/>
      <family val="0"/>
    </font>
    <font>
      <sz val="10"/>
      <name val="Arial"/>
      <family val="0"/>
    </font>
    <font>
      <sz val="10"/>
      <name val="Courier"/>
      <family val="0"/>
    </font>
    <font>
      <sz val="10"/>
      <name val="Arial MT"/>
      <family val="0"/>
    </font>
    <font>
      <sz val="8"/>
      <name val="Arial"/>
      <family val="2"/>
    </font>
    <font>
      <sz val="9.5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0"/>
      <name val="Arial MT"/>
      <family val="0"/>
    </font>
    <font>
      <b/>
      <sz val="12"/>
      <name val="Arial MT"/>
      <family val="2"/>
    </font>
    <font>
      <b/>
      <sz val="12"/>
      <color indexed="18"/>
      <name val="Arial MT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53"/>
      <name val="Arial MT"/>
      <family val="0"/>
    </font>
    <font>
      <sz val="12"/>
      <name val="Arial"/>
      <family val="2"/>
    </font>
    <font>
      <sz val="19.25"/>
      <name val="Arial"/>
      <family val="0"/>
    </font>
    <font>
      <b/>
      <sz val="8"/>
      <color indexed="3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b/>
      <sz val="10"/>
      <color indexed="10"/>
      <name val="Arial MT"/>
      <family val="0"/>
    </font>
    <font>
      <b/>
      <sz val="8"/>
      <color indexed="18"/>
      <name val="Arial"/>
      <family val="2"/>
    </font>
    <font>
      <b/>
      <sz val="8"/>
      <color indexed="62"/>
      <name val="Arial"/>
      <family val="2"/>
    </font>
    <font>
      <b/>
      <sz val="8"/>
      <color indexed="60"/>
      <name val="Arial"/>
      <family val="2"/>
    </font>
    <font>
      <sz val="12"/>
      <color indexed="10"/>
      <name val="Arial MT"/>
      <family val="0"/>
    </font>
    <font>
      <sz val="12"/>
      <color indexed="12"/>
      <name val="Arial MT"/>
      <family val="0"/>
    </font>
    <font>
      <u val="single"/>
      <sz val="10"/>
      <color indexed="10"/>
      <name val="Arial MT"/>
      <family val="0"/>
    </font>
    <font>
      <u val="single"/>
      <sz val="10"/>
      <color indexed="8"/>
      <name val="Arial MT"/>
      <family val="0"/>
    </font>
    <font>
      <sz val="10"/>
      <color indexed="17"/>
      <name val="Arial"/>
      <family val="2"/>
    </font>
    <font>
      <b/>
      <sz val="12"/>
      <color indexed="61"/>
      <name val="Arial MT"/>
      <family val="0"/>
    </font>
    <font>
      <u val="single"/>
      <strike/>
      <sz val="10"/>
      <color indexed="10"/>
      <name val="Arial MT"/>
      <family val="0"/>
    </font>
    <font>
      <u val="single"/>
      <sz val="8"/>
      <color indexed="10"/>
      <name val="Arial MT"/>
      <family val="0"/>
    </font>
    <font>
      <u val="single"/>
      <sz val="10"/>
      <name val="Arial MT"/>
      <family val="0"/>
    </font>
    <font>
      <b/>
      <sz val="9.5"/>
      <name val="Arial"/>
      <family val="2"/>
    </font>
    <font>
      <b/>
      <sz val="9.5"/>
      <color indexed="3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DashDotDot">
        <color indexed="10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37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2" fillId="0" borderId="0" xfId="0" applyFont="1" applyAlignment="1">
      <alignment/>
    </xf>
    <xf numFmtId="0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8" xfId="0" applyBorder="1" applyAlignment="1">
      <alignment/>
    </xf>
    <xf numFmtId="175" fontId="0" fillId="0" borderId="9" xfId="0" applyNumberFormat="1" applyBorder="1" applyAlignment="1" applyProtection="1">
      <alignment/>
      <protection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5" fontId="0" fillId="0" borderId="12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2" xfId="0" applyNumberFormat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Border="1" applyAlignment="1">
      <alignment/>
    </xf>
    <xf numFmtId="46" fontId="0" fillId="0" borderId="15" xfId="0" applyNumberFormat="1" applyBorder="1" applyAlignment="1" applyProtection="1">
      <alignment/>
      <protection/>
    </xf>
    <xf numFmtId="176" fontId="0" fillId="0" borderId="17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6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46" fontId="3" fillId="0" borderId="12" xfId="0" applyNumberFormat="1" applyFont="1" applyBorder="1" applyAlignment="1" applyProtection="1">
      <alignment/>
      <protection/>
    </xf>
    <xf numFmtId="46" fontId="3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/>
    </xf>
    <xf numFmtId="14" fontId="1" fillId="2" borderId="0" xfId="0" applyNumberFormat="1" applyFont="1" applyFill="1" applyAlignment="1">
      <alignment/>
    </xf>
    <xf numFmtId="0" fontId="1" fillId="2" borderId="18" xfId="0" applyFont="1" applyFill="1" applyBorder="1" applyAlignment="1">
      <alignment horizontal="centerContinuous" vertical="center"/>
    </xf>
    <xf numFmtId="0" fontId="1" fillId="2" borderId="19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 horizontal="centerContinuous" vertical="center" wrapText="1"/>
    </xf>
    <xf numFmtId="0" fontId="1" fillId="2" borderId="20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174" fontId="1" fillId="4" borderId="2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4" fontId="1" fillId="3" borderId="21" xfId="0" applyNumberFormat="1" applyFont="1" applyFill="1" applyBorder="1" applyAlignment="1" applyProtection="1">
      <alignment horizontal="center"/>
      <protection/>
    </xf>
    <xf numFmtId="196" fontId="7" fillId="3" borderId="22" xfId="0" applyNumberFormat="1" applyFont="1" applyFill="1" applyBorder="1" applyAlignment="1" applyProtection="1">
      <alignment horizontal="right"/>
      <protection/>
    </xf>
    <xf numFmtId="174" fontId="1" fillId="4" borderId="23" xfId="0" applyNumberFormat="1" applyFont="1" applyFill="1" applyBorder="1" applyAlignment="1">
      <alignment horizontal="center"/>
    </xf>
    <xf numFmtId="179" fontId="14" fillId="3" borderId="24" xfId="0" applyNumberFormat="1" applyFont="1" applyFill="1" applyBorder="1" applyAlignment="1">
      <alignment horizontal="center"/>
    </xf>
    <xf numFmtId="174" fontId="14" fillId="3" borderId="24" xfId="0" applyNumberFormat="1" applyFont="1" applyFill="1" applyBorder="1" applyAlignment="1">
      <alignment horizontal="center"/>
    </xf>
    <xf numFmtId="179" fontId="1" fillId="2" borderId="20" xfId="0" applyNumberFormat="1" applyFont="1" applyFill="1" applyBorder="1" applyAlignment="1">
      <alignment horizontal="center"/>
    </xf>
    <xf numFmtId="174" fontId="1" fillId="4" borderId="25" xfId="0" applyNumberFormat="1" applyFont="1" applyFill="1" applyBorder="1" applyAlignment="1" applyProtection="1">
      <alignment horizontal="center"/>
      <protection/>
    </xf>
    <xf numFmtId="174" fontId="14" fillId="4" borderId="26" xfId="0" applyNumberFormat="1" applyFont="1" applyFill="1" applyBorder="1" applyAlignment="1" applyProtection="1">
      <alignment horizontal="center"/>
      <protection/>
    </xf>
    <xf numFmtId="196" fontId="7" fillId="4" borderId="27" xfId="0" applyNumberFormat="1" applyFont="1" applyFill="1" applyBorder="1" applyAlignment="1" applyProtection="1">
      <alignment horizontal="right"/>
      <protection/>
    </xf>
    <xf numFmtId="179" fontId="14" fillId="3" borderId="28" xfId="0" applyNumberFormat="1" applyFont="1" applyFill="1" applyBorder="1" applyAlignment="1">
      <alignment horizontal="center"/>
    </xf>
    <xf numFmtId="174" fontId="14" fillId="3" borderId="28" xfId="0" applyNumberFormat="1" applyFont="1" applyFill="1" applyBorder="1" applyAlignment="1">
      <alignment horizontal="center"/>
    </xf>
    <xf numFmtId="179" fontId="14" fillId="3" borderId="20" xfId="0" applyNumberFormat="1" applyFont="1" applyFill="1" applyBorder="1" applyAlignment="1">
      <alignment horizontal="center"/>
    </xf>
    <xf numFmtId="174" fontId="14" fillId="3" borderId="2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14" fillId="0" borderId="0" xfId="0" applyNumberFormat="1" applyFont="1" applyFill="1" applyBorder="1" applyAlignment="1">
      <alignment horizontal="center"/>
    </xf>
    <xf numFmtId="179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0" xfId="0" applyFont="1" applyFill="1" applyBorder="1" applyAlignment="1">
      <alignment/>
    </xf>
    <xf numFmtId="179" fontId="15" fillId="2" borderId="0" xfId="0" applyNumberFormat="1" applyFont="1" applyFill="1" applyAlignment="1">
      <alignment horizontal="left"/>
    </xf>
    <xf numFmtId="0" fontId="1" fillId="2" borderId="31" xfId="0" applyFont="1" applyFill="1" applyBorder="1" applyAlignment="1">
      <alignment/>
    </xf>
    <xf numFmtId="179" fontId="15" fillId="2" borderId="0" xfId="0" applyNumberFormat="1" applyFont="1" applyFill="1" applyBorder="1" applyAlignment="1">
      <alignment horizontal="left"/>
    </xf>
    <xf numFmtId="0" fontId="1" fillId="2" borderId="3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0" xfId="0" applyFont="1" applyFill="1" applyAlignment="1" quotePrefix="1">
      <alignment/>
    </xf>
    <xf numFmtId="47" fontId="1" fillId="2" borderId="0" xfId="0" applyNumberFormat="1" applyFont="1" applyFill="1" applyAlignment="1">
      <alignment horizontal="left"/>
    </xf>
    <xf numFmtId="1" fontId="1" fillId="2" borderId="31" xfId="0" applyNumberFormat="1" applyFont="1" applyFill="1" applyBorder="1" applyAlignment="1">
      <alignment/>
    </xf>
    <xf numFmtId="1" fontId="1" fillId="2" borderId="32" xfId="0" applyNumberFormat="1" applyFont="1" applyFill="1" applyBorder="1" applyAlignment="1">
      <alignment/>
    </xf>
    <xf numFmtId="20" fontId="15" fillId="2" borderId="0" xfId="0" applyNumberFormat="1" applyFont="1" applyFill="1" applyAlignment="1">
      <alignment horizontal="left"/>
    </xf>
    <xf numFmtId="179" fontId="1" fillId="2" borderId="0" xfId="0" applyNumberFormat="1" applyFont="1" applyFill="1" applyAlignment="1">
      <alignment horizontal="left"/>
    </xf>
    <xf numFmtId="0" fontId="1" fillId="2" borderId="11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1" fontId="1" fillId="2" borderId="11" xfId="0" applyNumberFormat="1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1" fontId="1" fillId="2" borderId="13" xfId="0" applyNumberFormat="1" applyFont="1" applyFill="1" applyBorder="1" applyAlignment="1">
      <alignment/>
    </xf>
    <xf numFmtId="20" fontId="15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 quotePrefix="1">
      <alignment horizontal="center"/>
    </xf>
    <xf numFmtId="0" fontId="1" fillId="2" borderId="31" xfId="0" applyFont="1" applyFill="1" applyBorder="1" applyAlignment="1" quotePrefix="1">
      <alignment/>
    </xf>
    <xf numFmtId="0" fontId="1" fillId="2" borderId="11" xfId="0" applyFont="1" applyFill="1" applyBorder="1" applyAlignment="1" quotePrefix="1">
      <alignment/>
    </xf>
    <xf numFmtId="0" fontId="1" fillId="2" borderId="0" xfId="0" applyFont="1" applyFill="1" applyAlignment="1">
      <alignment horizontal="left" indent="1"/>
    </xf>
    <xf numFmtId="174" fontId="1" fillId="4" borderId="26" xfId="0" applyNumberFormat="1" applyFont="1" applyFill="1" applyBorder="1" applyAlignment="1" applyProtection="1">
      <alignment horizontal="center"/>
      <protection/>
    </xf>
    <xf numFmtId="174" fontId="1" fillId="4" borderId="25" xfId="0" applyNumberFormat="1" applyFont="1" applyFill="1" applyBorder="1" applyAlignment="1" applyProtection="1" quotePrefix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79" fontId="7" fillId="3" borderId="20" xfId="0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186" fontId="16" fillId="0" borderId="23" xfId="0" applyNumberFormat="1" applyFont="1" applyFill="1" applyBorder="1" applyAlignment="1">
      <alignment/>
    </xf>
    <xf numFmtId="0" fontId="0" fillId="0" borderId="28" xfId="0" applyBorder="1" applyAlignment="1">
      <alignment/>
    </xf>
    <xf numFmtId="186" fontId="0" fillId="0" borderId="24" xfId="0" applyNumberFormat="1" applyFill="1" applyBorder="1" applyAlignment="1" applyProtection="1">
      <alignment/>
      <protection/>
    </xf>
    <xf numFmtId="186" fontId="0" fillId="0" borderId="23" xfId="0" applyNumberFormat="1" applyFill="1" applyBorder="1" applyAlignment="1" applyProtection="1">
      <alignment/>
      <protection/>
    </xf>
    <xf numFmtId="0" fontId="0" fillId="0" borderId="23" xfId="0" applyBorder="1" applyAlignment="1">
      <alignment/>
    </xf>
    <xf numFmtId="46" fontId="0" fillId="0" borderId="0" xfId="0" applyNumberFormat="1" applyBorder="1" applyAlignment="1" applyProtection="1">
      <alignment/>
      <protection/>
    </xf>
    <xf numFmtId="46" fontId="0" fillId="0" borderId="6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4" xfId="0" applyNumberFormat="1" applyBorder="1" applyAlignment="1" applyProtection="1">
      <alignment/>
      <protection/>
    </xf>
    <xf numFmtId="46" fontId="0" fillId="0" borderId="32" xfId="0" applyNumberFormat="1" applyBorder="1" applyAlignment="1" applyProtection="1">
      <alignment/>
      <protection/>
    </xf>
    <xf numFmtId="46" fontId="0" fillId="0" borderId="33" xfId="0" applyNumberFormat="1" applyBorder="1" applyAlignment="1" applyProtection="1">
      <alignment/>
      <protection/>
    </xf>
    <xf numFmtId="176" fontId="0" fillId="0" borderId="34" xfId="0" applyNumberFormat="1" applyBorder="1" applyAlignment="1" applyProtection="1">
      <alignment/>
      <protection/>
    </xf>
    <xf numFmtId="0" fontId="0" fillId="0" borderId="35" xfId="0" applyBorder="1" applyAlignment="1">
      <alignment/>
    </xf>
    <xf numFmtId="174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176" fontId="0" fillId="0" borderId="35" xfId="0" applyNumberFormat="1" applyBorder="1" applyAlignment="1" applyProtection="1">
      <alignment/>
      <protection/>
    </xf>
    <xf numFmtId="46" fontId="0" fillId="0" borderId="24" xfId="0" applyNumberFormat="1" applyBorder="1" applyAlignment="1" applyProtection="1">
      <alignment/>
      <protection/>
    </xf>
    <xf numFmtId="46" fontId="0" fillId="0" borderId="38" xfId="0" applyNumberFormat="1" applyBorder="1" applyAlignment="1" applyProtection="1">
      <alignment/>
      <protection/>
    </xf>
    <xf numFmtId="176" fontId="0" fillId="0" borderId="39" xfId="0" applyNumberFormat="1" applyBorder="1" applyAlignment="1" applyProtection="1">
      <alignment/>
      <protection/>
    </xf>
    <xf numFmtId="0" fontId="3" fillId="0" borderId="2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76" fontId="0" fillId="0" borderId="33" xfId="0" applyNumberFormat="1" applyBorder="1" applyAlignment="1" applyProtection="1">
      <alignment/>
      <protection/>
    </xf>
    <xf numFmtId="0" fontId="0" fillId="0" borderId="36" xfId="0" applyBorder="1" applyAlignment="1">
      <alignment/>
    </xf>
    <xf numFmtId="176" fontId="0" fillId="0" borderId="38" xfId="0" applyNumberFormat="1" applyBorder="1" applyAlignment="1" applyProtection="1">
      <alignment/>
      <protection/>
    </xf>
    <xf numFmtId="46" fontId="0" fillId="0" borderId="17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2" fontId="0" fillId="0" borderId="35" xfId="0" applyNumberFormat="1" applyBorder="1" applyAlignment="1">
      <alignment/>
    </xf>
    <xf numFmtId="46" fontId="0" fillId="0" borderId="23" xfId="0" applyNumberFormat="1" applyBorder="1" applyAlignment="1" applyProtection="1">
      <alignment/>
      <protection/>
    </xf>
    <xf numFmtId="46" fontId="0" fillId="0" borderId="13" xfId="0" applyNumberFormat="1" applyBorder="1" applyAlignment="1" applyProtection="1">
      <alignment/>
      <protection/>
    </xf>
    <xf numFmtId="46" fontId="0" fillId="0" borderId="12" xfId="0" applyNumberFormat="1" applyBorder="1" applyAlignment="1" applyProtection="1">
      <alignment/>
      <protection/>
    </xf>
    <xf numFmtId="46" fontId="0" fillId="0" borderId="40" xfId="0" applyNumberFormat="1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17" fillId="0" borderId="0" xfId="0" applyFont="1" applyAlignment="1">
      <alignment/>
    </xf>
    <xf numFmtId="21" fontId="0" fillId="0" borderId="0" xfId="0" applyNumberFormat="1" applyAlignment="1">
      <alignment/>
    </xf>
    <xf numFmtId="1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center"/>
    </xf>
    <xf numFmtId="45" fontId="0" fillId="0" borderId="0" xfId="0" applyNumberFormat="1" applyAlignment="1">
      <alignment horizontal="center"/>
    </xf>
    <xf numFmtId="45" fontId="0" fillId="0" borderId="12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2" xfId="0" applyNumberFormat="1" applyBorder="1" applyAlignment="1">
      <alignment horizontal="center"/>
    </xf>
    <xf numFmtId="174" fontId="1" fillId="3" borderId="21" xfId="0" applyNumberFormat="1" applyFont="1" applyFill="1" applyBorder="1" applyAlignment="1" applyProtection="1" quotePrefix="1">
      <alignment horizontal="center"/>
      <protection/>
    </xf>
    <xf numFmtId="174" fontId="1" fillId="3" borderId="41" xfId="0" applyNumberFormat="1" applyFont="1" applyFill="1" applyBorder="1" applyAlignment="1" applyProtection="1">
      <alignment horizontal="center"/>
      <protection/>
    </xf>
    <xf numFmtId="179" fontId="7" fillId="4" borderId="20" xfId="0" applyNumberFormat="1" applyFont="1" applyFill="1" applyBorder="1" applyAlignment="1">
      <alignment horizontal="center"/>
    </xf>
    <xf numFmtId="45" fontId="3" fillId="0" borderId="0" xfId="0" applyNumberFormat="1" applyFont="1" applyAlignment="1">
      <alignment/>
    </xf>
    <xf numFmtId="200" fontId="3" fillId="0" borderId="0" xfId="0" applyNumberFormat="1" applyFont="1" applyAlignment="1">
      <alignment/>
    </xf>
    <xf numFmtId="200" fontId="3" fillId="0" borderId="12" xfId="0" applyNumberFormat="1" applyFont="1" applyBorder="1" applyAlignment="1">
      <alignment/>
    </xf>
    <xf numFmtId="200" fontId="3" fillId="0" borderId="0" xfId="0" applyNumberFormat="1" applyFont="1" applyBorder="1" applyAlignment="1">
      <alignment/>
    </xf>
    <xf numFmtId="179" fontId="3" fillId="5" borderId="0" xfId="0" applyNumberFormat="1" applyFont="1" applyFill="1" applyAlignment="1">
      <alignment/>
    </xf>
    <xf numFmtId="46" fontId="3" fillId="5" borderId="0" xfId="0" applyNumberFormat="1" applyFont="1" applyFill="1" applyBorder="1" applyAlignment="1" applyProtection="1">
      <alignment/>
      <protection/>
    </xf>
    <xf numFmtId="200" fontId="3" fillId="5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200" fontId="3" fillId="5" borderId="0" xfId="0" applyNumberFormat="1" applyFont="1" applyFill="1" applyBorder="1" applyAlignment="1">
      <alignment/>
    </xf>
    <xf numFmtId="187" fontId="0" fillId="0" borderId="0" xfId="0" applyNumberFormat="1" applyAlignment="1">
      <alignment/>
    </xf>
    <xf numFmtId="174" fontId="13" fillId="3" borderId="41" xfId="0" applyNumberFormat="1" applyFont="1" applyFill="1" applyBorder="1" applyAlignment="1" applyProtection="1">
      <alignment horizontal="center"/>
      <protection/>
    </xf>
    <xf numFmtId="174" fontId="1" fillId="3" borderId="42" xfId="0" applyNumberFormat="1" applyFont="1" applyFill="1" applyBorder="1" applyAlignment="1" applyProtection="1">
      <alignment horizontal="center"/>
      <protection/>
    </xf>
    <xf numFmtId="174" fontId="1" fillId="3" borderId="43" xfId="0" applyNumberFormat="1" applyFont="1" applyFill="1" applyBorder="1" applyAlignment="1" applyProtection="1">
      <alignment horizontal="center"/>
      <protection/>
    </xf>
    <xf numFmtId="0" fontId="1" fillId="2" borderId="44" xfId="0" applyFont="1" applyFill="1" applyBorder="1" applyAlignment="1">
      <alignment horizontal="centerContinuous" vertical="center"/>
    </xf>
    <xf numFmtId="0" fontId="1" fillId="2" borderId="45" xfId="0" applyFont="1" applyFill="1" applyBorder="1" applyAlignment="1">
      <alignment horizontal="centerContinuous" vertical="center"/>
    </xf>
    <xf numFmtId="174" fontId="1" fillId="4" borderId="46" xfId="0" applyNumberFormat="1" applyFont="1" applyFill="1" applyBorder="1" applyAlignment="1" applyProtection="1" quotePrefix="1">
      <alignment horizontal="center"/>
      <protection/>
    </xf>
    <xf numFmtId="174" fontId="1" fillId="4" borderId="47" xfId="0" applyNumberFormat="1" applyFont="1" applyFill="1" applyBorder="1" applyAlignment="1" applyProtection="1">
      <alignment horizontal="center"/>
      <protection/>
    </xf>
    <xf numFmtId="174" fontId="1" fillId="3" borderId="42" xfId="0" applyNumberFormat="1" applyFont="1" applyFill="1" applyBorder="1" applyAlignment="1" applyProtection="1" quotePrefix="1">
      <alignment horizontal="center"/>
      <protection/>
    </xf>
    <xf numFmtId="174" fontId="1" fillId="3" borderId="42" xfId="0" applyNumberFormat="1" applyFont="1" applyFill="1" applyBorder="1" applyAlignment="1" applyProtection="1">
      <alignment horizontal="left"/>
      <protection/>
    </xf>
    <xf numFmtId="174" fontId="1" fillId="4" borderId="46" xfId="0" applyNumberFormat="1" applyFont="1" applyFill="1" applyBorder="1" applyAlignment="1" applyProtection="1">
      <alignment horizontal="center"/>
      <protection/>
    </xf>
    <xf numFmtId="196" fontId="7" fillId="4" borderId="48" xfId="0" applyNumberFormat="1" applyFont="1" applyFill="1" applyBorder="1" applyAlignment="1" applyProtection="1">
      <alignment horizontal="right"/>
      <protection/>
    </xf>
    <xf numFmtId="174" fontId="14" fillId="3" borderId="49" xfId="0" applyNumberFormat="1" applyFont="1" applyFill="1" applyBorder="1" applyAlignment="1">
      <alignment horizontal="center"/>
    </xf>
    <xf numFmtId="179" fontId="1" fillId="2" borderId="49" xfId="0" applyNumberFormat="1" applyFont="1" applyFill="1" applyBorder="1" applyAlignment="1">
      <alignment horizontal="center"/>
    </xf>
    <xf numFmtId="174" fontId="1" fillId="4" borderId="49" xfId="0" applyNumberFormat="1" applyFont="1" applyFill="1" applyBorder="1" applyAlignment="1">
      <alignment horizontal="center"/>
    </xf>
    <xf numFmtId="45" fontId="26" fillId="0" borderId="0" xfId="0" applyNumberFormat="1" applyFont="1" applyAlignment="1">
      <alignment horizontal="center"/>
    </xf>
    <xf numFmtId="45" fontId="26" fillId="0" borderId="12" xfId="0" applyNumberFormat="1" applyFont="1" applyBorder="1" applyAlignment="1">
      <alignment horizontal="center"/>
    </xf>
    <xf numFmtId="45" fontId="27" fillId="0" borderId="0" xfId="0" applyNumberFormat="1" applyFont="1" applyAlignment="1">
      <alignment horizontal="center"/>
    </xf>
    <xf numFmtId="45" fontId="27" fillId="0" borderId="12" xfId="0" applyNumberFormat="1" applyFont="1" applyBorder="1" applyAlignment="1">
      <alignment horizontal="center"/>
    </xf>
    <xf numFmtId="45" fontId="27" fillId="0" borderId="0" xfId="0" applyNumberFormat="1" applyFont="1" applyBorder="1" applyAlignment="1">
      <alignment horizontal="center"/>
    </xf>
    <xf numFmtId="0" fontId="26" fillId="0" borderId="50" xfId="0" applyFont="1" applyBorder="1" applyAlignment="1">
      <alignment/>
    </xf>
    <xf numFmtId="45" fontId="27" fillId="0" borderId="51" xfId="0" applyNumberFormat="1" applyFont="1" applyBorder="1" applyAlignment="1">
      <alignment horizontal="center"/>
    </xf>
    <xf numFmtId="0" fontId="26" fillId="0" borderId="52" xfId="0" applyFont="1" applyBorder="1" applyAlignment="1">
      <alignment horizontal="center"/>
    </xf>
    <xf numFmtId="177" fontId="7" fillId="3" borderId="23" xfId="0" applyNumberFormat="1" applyFont="1" applyFill="1" applyBorder="1" applyAlignment="1" applyProtection="1">
      <alignment horizontal="center"/>
      <protection/>
    </xf>
    <xf numFmtId="199" fontId="7" fillId="4" borderId="20" xfId="0" applyNumberFormat="1" applyFont="1" applyFill="1" applyBorder="1" applyAlignment="1">
      <alignment horizontal="center"/>
    </xf>
    <xf numFmtId="174" fontId="4" fillId="3" borderId="21" xfId="0" applyNumberFormat="1" applyFont="1" applyFill="1" applyBorder="1" applyAlignment="1" applyProtection="1">
      <alignment horizontal="left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8" fillId="2" borderId="28" xfId="18" applyFont="1" applyFill="1" applyBorder="1" applyAlignment="1">
      <alignment horizontal="left" vertical="top" indent="1"/>
    </xf>
    <xf numFmtId="0" fontId="1" fillId="2" borderId="53" xfId="0" applyFont="1" applyFill="1" applyBorder="1" applyAlignment="1">
      <alignment horizontal="left" indent="1"/>
    </xf>
    <xf numFmtId="0" fontId="1" fillId="2" borderId="28" xfId="0" applyFont="1" applyFill="1" applyBorder="1" applyAlignment="1">
      <alignment horizontal="left" vertical="top" indent="1"/>
    </xf>
    <xf numFmtId="0" fontId="29" fillId="2" borderId="28" xfId="18" applyFont="1" applyFill="1" applyBorder="1" applyAlignment="1">
      <alignment horizontal="left" vertical="top" indent="1"/>
    </xf>
    <xf numFmtId="0" fontId="30" fillId="2" borderId="28" xfId="0" applyFont="1" applyFill="1" applyBorder="1" applyAlignment="1">
      <alignment horizontal="left" vertical="top" indent="1"/>
    </xf>
    <xf numFmtId="0" fontId="4" fillId="2" borderId="53" xfId="0" applyFont="1" applyFill="1" applyBorder="1" applyAlignment="1">
      <alignment horizontal="left" indent="1"/>
    </xf>
    <xf numFmtId="0" fontId="31" fillId="0" borderId="54" xfId="0" applyFont="1" applyBorder="1" applyAlignment="1">
      <alignment horizontal="right"/>
    </xf>
    <xf numFmtId="1" fontId="31" fillId="0" borderId="0" xfId="0" applyNumberFormat="1" applyFont="1" applyAlignment="1">
      <alignment/>
    </xf>
    <xf numFmtId="1" fontId="31" fillId="0" borderId="12" xfId="0" applyNumberFormat="1" applyFont="1" applyBorder="1" applyAlignment="1">
      <alignment/>
    </xf>
    <xf numFmtId="0" fontId="32" fillId="2" borderId="28" xfId="18" applyFont="1" applyFill="1" applyBorder="1" applyAlignment="1">
      <alignment horizontal="left" vertical="top" indent="1"/>
    </xf>
    <xf numFmtId="174" fontId="1" fillId="4" borderId="47" xfId="0" applyNumberFormat="1" applyFont="1" applyFill="1" applyBorder="1" applyAlignment="1" applyProtection="1">
      <alignment horizontal="left"/>
      <protection/>
    </xf>
    <xf numFmtId="174" fontId="13" fillId="4" borderId="26" xfId="0" applyNumberFormat="1" applyFont="1" applyFill="1" applyBorder="1" applyAlignment="1" applyProtection="1">
      <alignment horizontal="center"/>
      <protection/>
    </xf>
    <xf numFmtId="0" fontId="33" fillId="2" borderId="28" xfId="18" applyFont="1" applyFill="1" applyBorder="1" applyAlignment="1">
      <alignment horizontal="left" vertical="top" indent="1"/>
    </xf>
    <xf numFmtId="0" fontId="33" fillId="2" borderId="53" xfId="18" applyFont="1" applyFill="1" applyBorder="1" applyAlignment="1">
      <alignment horizontal="left" indent="1"/>
    </xf>
    <xf numFmtId="0" fontId="1" fillId="2" borderId="24" xfId="0" applyFont="1" applyFill="1" applyBorder="1" applyAlignment="1">
      <alignment horizontal="left" vertical="top" indent="1"/>
    </xf>
    <xf numFmtId="0" fontId="34" fillId="2" borderId="0" xfId="18" applyFont="1" applyFill="1" applyAlignment="1">
      <alignment/>
    </xf>
    <xf numFmtId="0" fontId="33" fillId="2" borderId="55" xfId="18" applyFont="1" applyFill="1" applyBorder="1" applyAlignment="1">
      <alignment horizontal="left" vertical="top" indent="1"/>
    </xf>
    <xf numFmtId="0" fontId="3" fillId="0" borderId="8" xfId="0" applyFont="1" applyBorder="1" applyAlignment="1">
      <alignment/>
    </xf>
    <xf numFmtId="0" fontId="10" fillId="4" borderId="31" xfId="0" applyFont="1" applyFill="1" applyBorder="1" applyAlignment="1">
      <alignment/>
    </xf>
    <xf numFmtId="0" fontId="3" fillId="0" borderId="31" xfId="0" applyNumberFormat="1" applyFont="1" applyBorder="1" applyAlignment="1" applyProtection="1">
      <alignment/>
      <protection/>
    </xf>
    <xf numFmtId="0" fontId="22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174" fontId="1" fillId="2" borderId="0" xfId="0" applyNumberFormat="1" applyFont="1" applyFill="1" applyAlignment="1">
      <alignment/>
    </xf>
    <xf numFmtId="174" fontId="1" fillId="3" borderId="0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" fontId="7" fillId="3" borderId="20" xfId="0" applyNumberFormat="1" applyFont="1" applyFill="1" applyBorder="1" applyAlignment="1" applyProtection="1">
      <alignment horizontal="center"/>
      <protection/>
    </xf>
    <xf numFmtId="202" fontId="7" fillId="4" borderId="20" xfId="0" applyNumberFormat="1" applyFont="1" applyFill="1" applyBorder="1" applyAlignment="1" applyProtection="1">
      <alignment horizontal="right"/>
      <protection/>
    </xf>
    <xf numFmtId="0" fontId="7" fillId="2" borderId="0" xfId="0" applyFont="1" applyFill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200" fontId="10" fillId="0" borderId="0" xfId="0" applyNumberFormat="1" applyFont="1" applyFill="1" applyBorder="1" applyAlignment="1">
      <alignment/>
    </xf>
    <xf numFmtId="0" fontId="10" fillId="4" borderId="11" xfId="0" applyFont="1" applyFill="1" applyBorder="1" applyAlignment="1">
      <alignment/>
    </xf>
    <xf numFmtId="179" fontId="22" fillId="0" borderId="31" xfId="0" applyNumberFormat="1" applyFont="1" applyBorder="1" applyAlignment="1">
      <alignment/>
    </xf>
    <xf numFmtId="0" fontId="3" fillId="4" borderId="31" xfId="0" applyNumberFormat="1" applyFont="1" applyFill="1" applyBorder="1" applyAlignment="1" applyProtection="1">
      <alignment/>
      <protection/>
    </xf>
    <xf numFmtId="0" fontId="10" fillId="0" borderId="31" xfId="0" applyFont="1" applyFill="1" applyBorder="1" applyAlignment="1">
      <alignment/>
    </xf>
    <xf numFmtId="1" fontId="7" fillId="3" borderId="23" xfId="0" applyNumberFormat="1" applyFont="1" applyFill="1" applyBorder="1" applyAlignment="1" applyProtection="1">
      <alignment horizontal="center"/>
      <protection/>
    </xf>
    <xf numFmtId="202" fontId="7" fillId="4" borderId="23" xfId="0" applyNumberFormat="1" applyFont="1" applyFill="1" applyBorder="1" applyAlignment="1" applyProtection="1">
      <alignment horizontal="right"/>
      <protection/>
    </xf>
    <xf numFmtId="1" fontId="7" fillId="3" borderId="56" xfId="0" applyNumberFormat="1" applyFont="1" applyFill="1" applyBorder="1" applyAlignment="1" applyProtection="1">
      <alignment horizontal="center"/>
      <protection/>
    </xf>
    <xf numFmtId="202" fontId="7" fillId="4" borderId="56" xfId="0" applyNumberFormat="1" applyFont="1" applyFill="1" applyBorder="1" applyAlignment="1" applyProtection="1">
      <alignment horizontal="right"/>
      <protection/>
    </xf>
    <xf numFmtId="186" fontId="3" fillId="0" borderId="10" xfId="0" applyNumberFormat="1" applyFont="1" applyBorder="1" applyAlignment="1">
      <alignment/>
    </xf>
    <xf numFmtId="186" fontId="10" fillId="4" borderId="32" xfId="0" applyNumberFormat="1" applyFont="1" applyFill="1" applyBorder="1" applyAlignment="1">
      <alignment/>
    </xf>
    <xf numFmtId="186" fontId="22" fillId="0" borderId="32" xfId="0" applyNumberFormat="1" applyFont="1" applyBorder="1" applyAlignment="1">
      <alignment/>
    </xf>
    <xf numFmtId="186" fontId="3" fillId="4" borderId="32" xfId="0" applyNumberFormat="1" applyFont="1" applyFill="1" applyBorder="1" applyAlignment="1">
      <alignment/>
    </xf>
    <xf numFmtId="186" fontId="10" fillId="0" borderId="32" xfId="0" applyNumberFormat="1" applyFont="1" applyFill="1" applyBorder="1" applyAlignment="1">
      <alignment/>
    </xf>
    <xf numFmtId="186" fontId="10" fillId="4" borderId="13" xfId="0" applyNumberFormat="1" applyFont="1" applyFill="1" applyBorder="1" applyAlignment="1">
      <alignment/>
    </xf>
    <xf numFmtId="186" fontId="3" fillId="0" borderId="32" xfId="0" applyNumberFormat="1" applyFont="1" applyBorder="1" applyAlignment="1">
      <alignment/>
    </xf>
    <xf numFmtId="186" fontId="3" fillId="0" borderId="13" xfId="0" applyNumberFormat="1" applyFont="1" applyBorder="1" applyAlignment="1">
      <alignment/>
    </xf>
    <xf numFmtId="46" fontId="10" fillId="0" borderId="0" xfId="0" applyNumberFormat="1" applyFont="1" applyBorder="1" applyAlignment="1">
      <alignment/>
    </xf>
    <xf numFmtId="174" fontId="13" fillId="4" borderId="47" xfId="0" applyNumberFormat="1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9" fontId="14" fillId="2" borderId="55" xfId="0" applyNumberFormat="1" applyFont="1" applyFill="1" applyBorder="1" applyAlignment="1">
      <alignment horizontal="right" vertical="center"/>
    </xf>
    <xf numFmtId="179" fontId="14" fillId="2" borderId="53" xfId="0" applyNumberFormat="1" applyFont="1" applyFill="1" applyBorder="1" applyAlignment="1">
      <alignment horizontal="right" vertical="center"/>
    </xf>
    <xf numFmtId="45" fontId="10" fillId="0" borderId="0" xfId="0" applyNumberFormat="1" applyFont="1" applyFill="1" applyBorder="1" applyAlignment="1">
      <alignment/>
    </xf>
    <xf numFmtId="183" fontId="1" fillId="2" borderId="11" xfId="19" applyNumberFormat="1" applyFont="1" applyFill="1" applyBorder="1" applyAlignment="1">
      <alignment horizontal="left"/>
    </xf>
    <xf numFmtId="183" fontId="1" fillId="2" borderId="12" xfId="19" applyNumberFormat="1" applyFont="1" applyFill="1" applyBorder="1" applyAlignment="1">
      <alignment horizontal="left"/>
    </xf>
    <xf numFmtId="183" fontId="1" fillId="2" borderId="31" xfId="19" applyNumberFormat="1" applyFont="1" applyFill="1" applyBorder="1" applyAlignment="1">
      <alignment horizontal="left"/>
    </xf>
    <xf numFmtId="183" fontId="1" fillId="2" borderId="0" xfId="19" applyNumberFormat="1" applyFont="1" applyFill="1" applyBorder="1" applyAlignment="1">
      <alignment horizontal="left"/>
    </xf>
    <xf numFmtId="183" fontId="1" fillId="2" borderId="32" xfId="19" applyNumberFormat="1" applyFont="1" applyFill="1" applyBorder="1" applyAlignment="1">
      <alignment horizontal="center"/>
    </xf>
    <xf numFmtId="20" fontId="14" fillId="0" borderId="0" xfId="0" applyNumberFormat="1" applyFont="1" applyFill="1" applyBorder="1" applyAlignment="1">
      <alignment horizontal="center"/>
    </xf>
    <xf numFmtId="20" fontId="14" fillId="0" borderId="32" xfId="0" applyNumberFormat="1" applyFont="1" applyFill="1" applyBorder="1" applyAlignment="1">
      <alignment horizontal="center"/>
    </xf>
    <xf numFmtId="20" fontId="14" fillId="0" borderId="12" xfId="0" applyNumberFormat="1" applyFont="1" applyFill="1" applyBorder="1" applyAlignment="1">
      <alignment horizontal="center"/>
    </xf>
    <xf numFmtId="20" fontId="14" fillId="0" borderId="13" xfId="0" applyNumberFormat="1" applyFont="1" applyFill="1" applyBorder="1" applyAlignment="1">
      <alignment horizontal="center"/>
    </xf>
    <xf numFmtId="20" fontId="15" fillId="6" borderId="9" xfId="0" applyNumberFormat="1" applyFont="1" applyFill="1" applyBorder="1" applyAlignment="1">
      <alignment horizontal="center"/>
    </xf>
    <xf numFmtId="20" fontId="15" fillId="6" borderId="10" xfId="0" applyNumberFormat="1" applyFont="1" applyFill="1" applyBorder="1" applyAlignment="1">
      <alignment horizontal="center"/>
    </xf>
    <xf numFmtId="179" fontId="1" fillId="2" borderId="0" xfId="0" applyNumberFormat="1" applyFont="1" applyFill="1" applyBorder="1" applyAlignment="1">
      <alignment horizontal="center"/>
    </xf>
    <xf numFmtId="179" fontId="1" fillId="2" borderId="32" xfId="0" applyNumberFormat="1" applyFont="1" applyFill="1" applyBorder="1" applyAlignment="1">
      <alignment horizontal="center"/>
    </xf>
    <xf numFmtId="183" fontId="1" fillId="2" borderId="13" xfId="19" applyNumberFormat="1" applyFont="1" applyFill="1" applyBorder="1" applyAlignment="1">
      <alignment horizontal="center"/>
    </xf>
    <xf numFmtId="45" fontId="1" fillId="2" borderId="0" xfId="0" applyNumberFormat="1" applyFont="1" applyFill="1" applyBorder="1" applyAlignment="1">
      <alignment horizontal="center"/>
    </xf>
    <xf numFmtId="45" fontId="1" fillId="2" borderId="32" xfId="0" applyNumberFormat="1" applyFont="1" applyFill="1" applyBorder="1" applyAlignment="1">
      <alignment horizontal="center"/>
    </xf>
    <xf numFmtId="179" fontId="15" fillId="6" borderId="9" xfId="0" applyNumberFormat="1" applyFont="1" applyFill="1" applyBorder="1" applyAlignment="1">
      <alignment horizontal="center"/>
    </xf>
    <xf numFmtId="179" fontId="15" fillId="6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79" fontId="14" fillId="2" borderId="57" xfId="0" applyNumberFormat="1" applyFont="1" applyFill="1" applyBorder="1" applyAlignment="1">
      <alignment horizontal="right" vertical="center"/>
    </xf>
    <xf numFmtId="179" fontId="14" fillId="2" borderId="11" xfId="0" applyNumberFormat="1" applyFont="1" applyFill="1" applyBorder="1" applyAlignment="1">
      <alignment horizontal="right" vertical="center"/>
    </xf>
    <xf numFmtId="174" fontId="1" fillId="4" borderId="46" xfId="0" applyNumberFormat="1" applyFont="1" applyFill="1" applyBorder="1" applyAlignment="1" applyProtection="1" quotePrefix="1">
      <alignment horizontal="center"/>
      <protection/>
    </xf>
    <xf numFmtId="174" fontId="1" fillId="4" borderId="47" xfId="0" applyNumberFormat="1" applyFont="1" applyFill="1" applyBorder="1" applyAlignment="1" applyProtection="1">
      <alignment horizontal="center"/>
      <protection/>
    </xf>
    <xf numFmtId="197" fontId="7" fillId="2" borderId="41" xfId="0" applyNumberFormat="1" applyFont="1" applyFill="1" applyBorder="1" applyAlignment="1" applyProtection="1">
      <alignment horizontal="center" vertical="center"/>
      <protection/>
    </xf>
    <xf numFmtId="197" fontId="7" fillId="2" borderId="47" xfId="0" applyNumberFormat="1" applyFont="1" applyFill="1" applyBorder="1" applyAlignment="1" applyProtection="1">
      <alignment horizontal="center" vertical="center"/>
      <protection/>
    </xf>
    <xf numFmtId="177" fontId="7" fillId="2" borderId="58" xfId="0" applyNumberFormat="1" applyFont="1" applyFill="1" applyBorder="1" applyAlignment="1" applyProtection="1">
      <alignment horizontal="center" vertical="center"/>
      <protection/>
    </xf>
    <xf numFmtId="177" fontId="7" fillId="2" borderId="59" xfId="0" applyNumberFormat="1" applyFont="1" applyFill="1" applyBorder="1" applyAlignment="1" applyProtection="1">
      <alignment horizontal="center" vertical="center"/>
      <protection/>
    </xf>
    <xf numFmtId="177" fontId="7" fillId="2" borderId="60" xfId="0" applyNumberFormat="1" applyFont="1" applyFill="1" applyBorder="1" applyAlignment="1" applyProtection="1">
      <alignment horizontal="center" vertical="center"/>
      <protection/>
    </xf>
    <xf numFmtId="197" fontId="7" fillId="2" borderId="26" xfId="0" applyNumberFormat="1" applyFont="1" applyFill="1" applyBorder="1" applyAlignment="1" applyProtection="1">
      <alignment horizontal="center" vertical="center"/>
      <protection/>
    </xf>
    <xf numFmtId="14" fontId="1" fillId="2" borderId="0" xfId="0" applyNumberFormat="1" applyFont="1" applyFill="1" applyAlignment="1">
      <alignment horizontal="left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1" fillId="2" borderId="63" xfId="0" applyFont="1" applyFill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Undefinier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2"/>
          <c:order val="0"/>
          <c:tx>
            <c:v>schedule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'training schedule'!$W$8:$W$20</c:f>
              <c:numCache/>
            </c:numRef>
          </c:cat>
          <c:val>
            <c:numRef>
              <c:f>'training schedule'!$AA$8:$AA$20</c:f>
              <c:numCache/>
            </c:numRef>
          </c:val>
        </c:ser>
        <c:ser>
          <c:idx val="0"/>
          <c:order val="1"/>
          <c:tx>
            <c:v>done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Pt>
            <c:idx val="1"/>
            <c:invertIfNegative val="0"/>
            <c:spPr>
              <a:solidFill>
                <a:srgbClr val="C0C0C0"/>
              </a:solidFill>
            </c:spPr>
          </c:dPt>
          <c:dPt>
            <c:idx val="2"/>
            <c:invertIfNegative val="0"/>
            <c:spPr>
              <a:solidFill>
                <a:srgbClr val="C0C0C0"/>
              </a:solidFill>
            </c:spPr>
          </c:dPt>
          <c:dPt>
            <c:idx val="3"/>
            <c:invertIfNegative val="0"/>
            <c:spPr>
              <a:solidFill>
                <a:srgbClr val="C0C0C0"/>
              </a:solidFill>
            </c:spPr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5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0"/>
            <c:spPr>
              <a:solidFill>
                <a:srgbClr val="C0C0C0"/>
              </a:solidFill>
            </c:spPr>
          </c:dPt>
          <c:dPt>
            <c:idx val="7"/>
            <c:invertIfNegative val="0"/>
            <c:spPr>
              <a:solidFill>
                <a:srgbClr val="C0C0C0"/>
              </a:solidFill>
            </c:spPr>
          </c:dP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solidFill>
                <a:srgbClr val="C0C0C0"/>
              </a:solidFill>
            </c:spPr>
          </c:dPt>
          <c:dPt>
            <c:idx val="11"/>
            <c:invertIfNegative val="0"/>
            <c:spPr>
              <a:solidFill>
                <a:srgbClr val="C0C0C0"/>
              </a:solidFill>
            </c:spPr>
          </c:dPt>
          <c:dPt>
            <c:idx val="12"/>
            <c:invertIfNegative val="0"/>
            <c:spPr>
              <a:solidFill>
                <a:srgbClr val="C0C0C0"/>
              </a:solidFill>
            </c:spPr>
          </c:dPt>
          <c:dPt>
            <c:idx val="13"/>
            <c:invertIfNegative val="0"/>
            <c:spPr>
              <a:solidFill>
                <a:srgbClr val="C0C0C0"/>
              </a:solidFill>
            </c:spPr>
          </c:dPt>
          <c:dPt>
            <c:idx val="14"/>
            <c:invertIfNegative val="0"/>
            <c:spPr>
              <a:solidFill>
                <a:srgbClr val="C0C0C0"/>
              </a:solidFill>
            </c:spPr>
          </c:dPt>
          <c:dPt>
            <c:idx val="15"/>
            <c:invertIfNegative val="0"/>
            <c:spPr>
              <a:solidFill>
                <a:srgbClr val="C0C0C0"/>
              </a:solidFill>
            </c:spPr>
          </c:dPt>
          <c:dPt>
            <c:idx val="16"/>
            <c:invertIfNegative val="0"/>
            <c:spPr>
              <a:solidFill>
                <a:srgbClr val="C0C0C0"/>
              </a:solidFill>
            </c:spPr>
          </c:dPt>
          <c:dPt>
            <c:idx val="17"/>
            <c:invertIfNegative val="0"/>
            <c:spPr>
              <a:solidFill>
                <a:srgbClr val="C0C0C0"/>
              </a:solidFill>
            </c:spPr>
          </c:dPt>
          <c:dPt>
            <c:idx val="18"/>
            <c:invertIfNegative val="0"/>
            <c:spPr>
              <a:solidFill>
                <a:srgbClr val="C0C0C0"/>
              </a:solidFill>
            </c:spPr>
          </c:dPt>
          <c:dPt>
            <c:idx val="19"/>
            <c:invertIfNegative val="0"/>
            <c:spPr>
              <a:solidFill>
                <a:srgbClr val="C0C0C0"/>
              </a:solidFill>
            </c:spPr>
          </c:dPt>
          <c:cat>
            <c:numRef>
              <c:f>'training schedule'!$W$8:$W$20</c:f>
              <c:numCache/>
            </c:numRef>
          </c:cat>
          <c:val>
            <c:numRef>
              <c:f>'training schedule'!$Z$8:$Z$20</c:f>
              <c:numCache/>
            </c:numRef>
          </c:val>
        </c:ser>
        <c:gapWidth val="30"/>
        <c:axId val="23418187"/>
        <c:axId val="9437092"/>
      </c:barChart>
      <c:lineChart>
        <c:grouping val="standard"/>
        <c:varyColors val="0"/>
        <c:ser>
          <c:idx val="1"/>
          <c:order val="2"/>
          <c:tx>
            <c:v>longest run schedule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FFCC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schedule'!$W$8:$W$20</c:f>
              <c:numCache/>
            </c:numRef>
          </c:cat>
          <c:val>
            <c:numRef>
              <c:f>'training schedule'!$Y$8:$Y$20</c:f>
              <c:numCache/>
            </c:numRef>
          </c:val>
          <c:smooth val="0"/>
        </c:ser>
        <c:ser>
          <c:idx val="3"/>
          <c:order val="3"/>
          <c:tx>
            <c:v>longest run done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'training schedule'!$W$8:$W$20</c:f>
              <c:numCache/>
            </c:numRef>
          </c:cat>
          <c:val>
            <c:numRef>
              <c:f>'training schedule'!$X$8:$X$20</c:f>
              <c:numCache/>
            </c:numRef>
          </c:val>
          <c:smooth val="0"/>
        </c:ser>
        <c:axId val="23418187"/>
        <c:axId val="9437092"/>
      </c:lineChart>
      <c:catAx>
        <c:axId val="23418187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437092"/>
        <c:crosses val="autoZero"/>
        <c:auto val="1"/>
        <c:lblOffset val="100"/>
        <c:noMultiLvlLbl val="0"/>
      </c:catAx>
      <c:valAx>
        <c:axId val="9437092"/>
        <c:scaling>
          <c:orientation val="minMax"/>
          <c:max val="1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418187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6275"/>
          <c:y val="0.024"/>
          <c:w val="0.3175"/>
          <c:h val="0.182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97625"/>
          <c:h val="0.9535"/>
        </c:manualLayout>
      </c:layout>
      <c:lineChart>
        <c:grouping val="standard"/>
        <c:varyColors val="0"/>
        <c:ser>
          <c:idx val="0"/>
          <c:order val="0"/>
          <c:tx>
            <c:v>Ist-Tempo min/Meile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80"/>
                        </a:solidFill>
                      </a:rPr>
                      <a:t>05:22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analyse!$A$27:$A$52</c:f>
              <c:numCache/>
            </c:numRef>
          </c:cat>
          <c:val>
            <c:numRef>
              <c:f>analyse!$D$27:$D$52</c:f>
              <c:numCache/>
            </c:numRef>
          </c:val>
          <c:smooth val="0"/>
        </c:ser>
        <c:ser>
          <c:idx val="1"/>
          <c:order val="1"/>
          <c:tx>
            <c:v>kum. Ist-Tempo min/Meile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analyse!$A$27:$A$52</c:f>
              <c:numCache/>
            </c:numRef>
          </c:cat>
          <c:val>
            <c:numRef>
              <c:f>analyse!$F$27:$F$52</c:f>
              <c:numCache/>
            </c:numRef>
          </c:val>
          <c:smooth val="0"/>
        </c:ser>
        <c:ser>
          <c:idx val="4"/>
          <c:order val="3"/>
          <c:tx>
            <c:v>Soll-Tempo Schnitt 7:35 min/Meile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analyse!$B$27:$B$52</c:f>
              <c:numCache/>
            </c:numRef>
          </c:val>
          <c:smooth val="0"/>
        </c:ser>
        <c:marker val="1"/>
        <c:axId val="17824965"/>
        <c:axId val="26206958"/>
      </c:lineChart>
      <c:lineChart>
        <c:grouping val="standard"/>
        <c:varyColors val="0"/>
        <c:ser>
          <c:idx val="3"/>
          <c:order val="2"/>
          <c:tx>
            <c:v>Puls HF/min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9933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delete val="1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9933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"/>
              <c:pt idx="0">
                <c:v>Soll-Tempo Einteilung</c:v>
              </c:pt>
            </c:strLit>
          </c:cat>
          <c:val>
            <c:numRef>
              <c:f>analyse!$G$27:$G$52</c:f>
              <c:numCache/>
            </c:numRef>
          </c:val>
          <c:smooth val="0"/>
        </c:ser>
        <c:marker val="1"/>
        <c:axId val="34536031"/>
        <c:axId val="42388824"/>
      </c:lineChart>
      <c:catAx>
        <c:axId val="17824965"/>
        <c:scaling>
          <c:orientation val="minMax"/>
        </c:scaling>
        <c:axPos val="b"/>
        <c:delete val="0"/>
        <c:numFmt formatCode="0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206958"/>
        <c:crossesAt val="0.002777778"/>
        <c:auto val="1"/>
        <c:lblOffset val="100"/>
        <c:noMultiLvlLbl val="0"/>
      </c:catAx>
      <c:valAx>
        <c:axId val="26206958"/>
        <c:scaling>
          <c:orientation val="minMax"/>
          <c:max val="0.0059028"/>
          <c:min val="0.0046875"/>
        </c:scaling>
        <c:axPos val="l"/>
        <c:majorGridlines/>
        <c:delete val="0"/>
        <c:numFmt formatCode="mm:ss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824965"/>
        <c:crossesAt val="1"/>
        <c:crossBetween val="midCat"/>
        <c:dispUnits/>
        <c:majorUnit val="0.0001736"/>
        <c:minorUnit val="0.0001736"/>
      </c:valAx>
      <c:catAx>
        <c:axId val="34536031"/>
        <c:scaling>
          <c:orientation val="minMax"/>
        </c:scaling>
        <c:axPos val="b"/>
        <c:delete val="1"/>
        <c:majorTickMark val="in"/>
        <c:minorTickMark val="none"/>
        <c:tickLblPos val="nextTo"/>
        <c:crossAx val="42388824"/>
        <c:crossesAt val="125"/>
        <c:auto val="1"/>
        <c:lblOffset val="100"/>
        <c:noMultiLvlLbl val="0"/>
      </c:catAx>
      <c:valAx>
        <c:axId val="42388824"/>
        <c:scaling>
          <c:orientation val="minMax"/>
          <c:max val="190"/>
          <c:min val="70"/>
        </c:scaling>
        <c:axPos val="l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50" b="0" i="0" u="none" baseline="0"/>
            </a:pPr>
          </a:p>
        </c:txPr>
        <c:crossAx val="34536031"/>
        <c:crosses val="max"/>
        <c:crossBetween val="midCat"/>
        <c:dispUnits/>
        <c:majorUnit val="20"/>
        <c:minorUnit val="4"/>
      </c:valAx>
      <c:spPr>
        <a:noFill/>
      </c:spPr>
    </c:plotArea>
    <c:legend>
      <c:legendPos val="r"/>
      <c:layout>
        <c:manualLayout>
          <c:xMode val="edge"/>
          <c:yMode val="edge"/>
          <c:x val="0.547"/>
          <c:y val="0.082"/>
          <c:w val="0.37575"/>
          <c:h val="0.23925"/>
        </c:manualLayout>
      </c:layout>
      <c:overlay val="0"/>
      <c:spPr>
        <a:noFill/>
        <a:ln w="12700">
          <a:solidFill/>
        </a:ln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36</xdr:row>
      <xdr:rowOff>0</xdr:rowOff>
    </xdr:from>
    <xdr:to>
      <xdr:col>16</xdr:col>
      <xdr:colOff>238125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352425" y="5810250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9</xdr:col>
      <xdr:colOff>1000125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0" y="161925"/>
        <a:ext cx="736282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g-hamm.de/" TargetMode="External" /><Relationship Id="rId2" Type="http://schemas.openxmlformats.org/officeDocument/2006/relationships/hyperlink" Target="http://www.midwintermarathon.nl/" TargetMode="External" /><Relationship Id="rId3" Type="http://schemas.openxmlformats.org/officeDocument/2006/relationships/hyperlink" Target="http://www.london-marathon.co.uk/" TargetMode="External" /><Relationship Id="rId4" Type="http://schemas.openxmlformats.org/officeDocument/2006/relationships/hyperlink" Target="http://www.t-t-w.de/" TargetMode="External" /><Relationship Id="rId5" Type="http://schemas.openxmlformats.org/officeDocument/2006/relationships/hyperlink" Target="london2004.xls" TargetMode="External" /><Relationship Id="rId6" Type="http://schemas.openxmlformats.org/officeDocument/2006/relationships/hyperlink" Target="http://www.syltlauf.de/" TargetMode="External" /><Relationship Id="rId7" Type="http://schemas.openxmlformats.org/officeDocument/2006/relationships/hyperlink" Target="http://www.bochumer-uni-run.de/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HW65"/>
  <sheetViews>
    <sheetView showGridLines="0" tabSelected="1" workbookViewId="0" topLeftCell="A1">
      <selection activeCell="A1" sqref="A1"/>
    </sheetView>
  </sheetViews>
  <sheetFormatPr defaultColWidth="9.77734375" defaultRowHeight="15"/>
  <cols>
    <col min="1" max="1" width="1.2265625" style="32" customWidth="1"/>
    <col min="2" max="2" width="2.77734375" style="33" bestFit="1" customWidth="1"/>
    <col min="3" max="4" width="5.77734375" style="32" customWidth="1"/>
    <col min="5" max="5" width="4.21484375" style="32" customWidth="1"/>
    <col min="6" max="6" width="1.77734375" style="33" customWidth="1"/>
    <col min="7" max="7" width="4.10546875" style="32" customWidth="1"/>
    <col min="8" max="8" width="2.3359375" style="33" customWidth="1"/>
    <col min="9" max="9" width="4.10546875" style="32" customWidth="1"/>
    <col min="10" max="10" width="2.3359375" style="33" customWidth="1"/>
    <col min="11" max="11" width="4.10546875" style="32" customWidth="1"/>
    <col min="12" max="12" width="2.3359375" style="33" customWidth="1"/>
    <col min="13" max="13" width="4.10546875" style="32" customWidth="1"/>
    <col min="14" max="14" width="2.3359375" style="33" customWidth="1"/>
    <col min="15" max="15" width="4.10546875" style="32" customWidth="1"/>
    <col min="16" max="16" width="2.3359375" style="33" customWidth="1"/>
    <col min="17" max="17" width="4.10546875" style="32" customWidth="1"/>
    <col min="18" max="18" width="2.3359375" style="33" customWidth="1"/>
    <col min="19" max="19" width="4.99609375" style="32" customWidth="1"/>
    <col min="20" max="20" width="3.77734375" style="32" customWidth="1"/>
    <col min="21" max="21" width="17.99609375" style="32" customWidth="1"/>
    <col min="22" max="22" width="29.3359375" style="32" customWidth="1"/>
    <col min="23" max="23" width="3.99609375" style="32" customWidth="1"/>
    <col min="24" max="29" width="9.77734375" style="32" customWidth="1"/>
    <col min="30" max="37" width="3.77734375" style="32" customWidth="1"/>
    <col min="38" max="38" width="9.88671875" style="32" customWidth="1"/>
    <col min="39" max="45" width="4.10546875" style="32" bestFit="1" customWidth="1"/>
    <col min="46" max="16384" width="9.77734375" style="32" customWidth="1"/>
  </cols>
  <sheetData>
    <row r="1" spans="2:24" ht="12.75">
      <c r="B1" s="91" t="s">
        <v>64</v>
      </c>
      <c r="I1" s="32" t="s">
        <v>65</v>
      </c>
      <c r="R1" s="32"/>
      <c r="U1" s="34" t="s">
        <v>31</v>
      </c>
      <c r="X1" s="32" t="s">
        <v>77</v>
      </c>
    </row>
    <row r="2" spans="2:25" ht="12.75">
      <c r="B2" s="91" t="s">
        <v>24</v>
      </c>
      <c r="D2" s="274">
        <f ca="1">TODAY()</f>
        <v>38109</v>
      </c>
      <c r="E2" s="274"/>
      <c r="H2" s="32"/>
      <c r="I2" s="31" t="s">
        <v>25</v>
      </c>
      <c r="J2" s="32"/>
      <c r="K2" s="35">
        <f>+X2-D2-1</f>
        <v>-15</v>
      </c>
      <c r="L2" s="32" t="s">
        <v>26</v>
      </c>
      <c r="N2" s="32"/>
      <c r="R2" s="32"/>
      <c r="U2" s="36" t="s">
        <v>27</v>
      </c>
      <c r="X2" s="37">
        <v>38095</v>
      </c>
      <c r="Y2" s="37"/>
    </row>
    <row r="3" ht="12.75">
      <c r="B3" s="91"/>
    </row>
    <row r="4" spans="2:21" ht="15.75" customHeight="1">
      <c r="B4" s="91" t="s">
        <v>80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U4" s="199" t="s">
        <v>87</v>
      </c>
    </row>
    <row r="5" ht="7.5" customHeight="1">
      <c r="B5" s="91"/>
    </row>
    <row r="6" spans="2:231" ht="19.5" customHeight="1" thickBot="1">
      <c r="B6" s="275" t="s">
        <v>1</v>
      </c>
      <c r="C6" s="276"/>
      <c r="D6" s="277"/>
      <c r="E6" s="38" t="s">
        <v>2</v>
      </c>
      <c r="F6" s="39"/>
      <c r="G6" s="38" t="s">
        <v>3</v>
      </c>
      <c r="H6" s="39"/>
      <c r="I6" s="38" t="s">
        <v>4</v>
      </c>
      <c r="J6" s="39"/>
      <c r="K6" s="38" t="s">
        <v>5</v>
      </c>
      <c r="L6" s="39"/>
      <c r="M6" s="159" t="s">
        <v>6</v>
      </c>
      <c r="N6" s="160"/>
      <c r="O6" s="38" t="s">
        <v>7</v>
      </c>
      <c r="P6" s="39"/>
      <c r="Q6" s="38" t="s">
        <v>8</v>
      </c>
      <c r="R6" s="39"/>
      <c r="S6" s="40" t="s">
        <v>39</v>
      </c>
      <c r="T6" s="41" t="s">
        <v>74</v>
      </c>
      <c r="U6" s="42"/>
      <c r="W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</row>
    <row r="7" spans="2:36" s="45" customFormat="1" ht="15" customHeight="1">
      <c r="B7" s="270">
        <v>13</v>
      </c>
      <c r="C7" s="268">
        <v>38005</v>
      </c>
      <c r="D7" s="268">
        <f>+C7+6</f>
        <v>38011</v>
      </c>
      <c r="E7" s="48" t="s">
        <v>70</v>
      </c>
      <c r="F7" s="144"/>
      <c r="G7" s="143">
        <v>10</v>
      </c>
      <c r="H7" s="144" t="s">
        <v>16</v>
      </c>
      <c r="I7" s="143" t="s">
        <v>11</v>
      </c>
      <c r="J7" s="144"/>
      <c r="K7" s="48">
        <v>10</v>
      </c>
      <c r="L7" s="144" t="s">
        <v>12</v>
      </c>
      <c r="M7" s="157">
        <v>10</v>
      </c>
      <c r="N7" s="158" t="s">
        <v>17</v>
      </c>
      <c r="O7" s="143" t="s">
        <v>11</v>
      </c>
      <c r="P7" s="144"/>
      <c r="Q7" s="48">
        <v>13</v>
      </c>
      <c r="R7" s="156" t="s">
        <v>0</v>
      </c>
      <c r="S7" s="49">
        <f>SUM(E7:Q7)</f>
        <v>43</v>
      </c>
      <c r="T7" s="264">
        <v>69.5</v>
      </c>
      <c r="U7" s="193" t="s">
        <v>66</v>
      </c>
      <c r="V7" s="44"/>
      <c r="X7" s="43" t="s">
        <v>28</v>
      </c>
      <c r="Y7" s="43" t="s">
        <v>29</v>
      </c>
      <c r="Z7" s="43" t="s">
        <v>27</v>
      </c>
      <c r="AA7" s="43" t="s">
        <v>13</v>
      </c>
      <c r="AB7" s="43" t="s">
        <v>30</v>
      </c>
      <c r="AD7" s="45" t="s">
        <v>2</v>
      </c>
      <c r="AE7" s="45" t="s">
        <v>96</v>
      </c>
      <c r="AF7" s="45" t="s">
        <v>97</v>
      </c>
      <c r="AG7" s="45" t="s">
        <v>98</v>
      </c>
      <c r="AH7" s="45" t="s">
        <v>6</v>
      </c>
      <c r="AI7" s="45" t="s">
        <v>7</v>
      </c>
      <c r="AJ7" s="45" t="s">
        <v>99</v>
      </c>
    </row>
    <row r="8" spans="2:45" s="45" customFormat="1" ht="15" customHeight="1" thickBot="1">
      <c r="B8" s="271"/>
      <c r="C8" s="273"/>
      <c r="D8" s="273"/>
      <c r="E8" s="54" t="s">
        <v>70</v>
      </c>
      <c r="F8" s="92"/>
      <c r="G8" s="93">
        <v>10.7</v>
      </c>
      <c r="H8" s="92" t="s">
        <v>17</v>
      </c>
      <c r="I8" s="93" t="s">
        <v>11</v>
      </c>
      <c r="J8" s="92"/>
      <c r="K8" s="54">
        <v>19</v>
      </c>
      <c r="L8" s="92" t="s">
        <v>15</v>
      </c>
      <c r="M8" s="165" t="s">
        <v>11</v>
      </c>
      <c r="N8" s="162"/>
      <c r="O8" s="54" t="s">
        <v>11</v>
      </c>
      <c r="P8" s="92"/>
      <c r="Q8" s="54">
        <v>16.1</v>
      </c>
      <c r="R8" s="55" t="s">
        <v>15</v>
      </c>
      <c r="S8" s="56">
        <f>SUM(E8:Q8)</f>
        <v>45.8</v>
      </c>
      <c r="T8" s="265"/>
      <c r="U8" s="189" t="s">
        <v>82</v>
      </c>
      <c r="V8" s="44"/>
      <c r="W8" s="45">
        <v>13</v>
      </c>
      <c r="X8" s="46">
        <f>IF(S8&gt;0,MAX(Q8,O8,M8,K8,I8,G8,E8),"")</f>
        <v>19</v>
      </c>
      <c r="Y8" s="59">
        <f>MAX(Q7,O7,M7,K7,I7,G7,E7)</f>
        <v>13</v>
      </c>
      <c r="Z8" s="169">
        <f>+S8</f>
        <v>45.8</v>
      </c>
      <c r="AA8" s="167">
        <f>+S7</f>
        <v>43</v>
      </c>
      <c r="AB8" s="168">
        <f>IF(+$D$2&gt;=D7,Z7-AA7,"")</f>
        <v>0</v>
      </c>
      <c r="AD8" s="208" t="str">
        <f>+E7</f>
        <v>gym</v>
      </c>
      <c r="AE8" s="208">
        <f>+G7</f>
        <v>10</v>
      </c>
      <c r="AF8" s="208" t="str">
        <f>+I7</f>
        <v>-</v>
      </c>
      <c r="AG8" s="208">
        <f>+K7</f>
        <v>10</v>
      </c>
      <c r="AH8" s="208">
        <f>+M7</f>
        <v>10</v>
      </c>
      <c r="AI8" s="208" t="str">
        <f>+O7</f>
        <v>-</v>
      </c>
      <c r="AJ8" s="208">
        <f>+Q7</f>
        <v>13</v>
      </c>
      <c r="AK8" s="207">
        <f aca="true" t="shared" si="0" ref="AK8:AK20">SUM(AD8:AJ8)</f>
        <v>43</v>
      </c>
      <c r="AM8" s="45" t="s">
        <v>2</v>
      </c>
      <c r="AN8" s="45" t="s">
        <v>96</v>
      </c>
      <c r="AO8" s="45" t="s">
        <v>97</v>
      </c>
      <c r="AP8" s="45" t="s">
        <v>98</v>
      </c>
      <c r="AQ8" s="45" t="s">
        <v>6</v>
      </c>
      <c r="AR8" s="45" t="s">
        <v>7</v>
      </c>
      <c r="AS8" s="45" t="s">
        <v>99</v>
      </c>
    </row>
    <row r="9" spans="2:45" s="45" customFormat="1" ht="12.75" customHeight="1">
      <c r="B9" s="270">
        <v>12</v>
      </c>
      <c r="C9" s="268">
        <f>+C7+7</f>
        <v>38012</v>
      </c>
      <c r="D9" s="268">
        <f>+D7+7</f>
        <v>38018</v>
      </c>
      <c r="E9" s="48" t="s">
        <v>70</v>
      </c>
      <c r="F9" s="144"/>
      <c r="G9" s="143" t="s">
        <v>11</v>
      </c>
      <c r="H9" s="144"/>
      <c r="I9" s="143">
        <v>10</v>
      </c>
      <c r="J9" s="144" t="s">
        <v>17</v>
      </c>
      <c r="K9" s="48">
        <v>20</v>
      </c>
      <c r="L9" s="144" t="s">
        <v>15</v>
      </c>
      <c r="M9" s="157" t="s">
        <v>70</v>
      </c>
      <c r="N9" s="158"/>
      <c r="O9" s="143">
        <v>14</v>
      </c>
      <c r="P9" s="144" t="s">
        <v>12</v>
      </c>
      <c r="Q9" s="48">
        <v>16.1</v>
      </c>
      <c r="R9" s="144" t="s">
        <v>15</v>
      </c>
      <c r="S9" s="49">
        <f aca="true" t="shared" si="1" ref="S9:S32">SUM(E9:Q9)</f>
        <v>60.1</v>
      </c>
      <c r="T9" s="264">
        <v>69.1</v>
      </c>
      <c r="U9" s="186"/>
      <c r="V9" s="44"/>
      <c r="W9" s="45">
        <v>12</v>
      </c>
      <c r="X9" s="50">
        <f>IF(S10&gt;0,MAX(E10,G10,I10,K10,M10,O10,Q10),"")</f>
        <v>22</v>
      </c>
      <c r="Y9" s="51">
        <f>MAX(Q9,O9,M9,K9,I9,G9,E9)</f>
        <v>20</v>
      </c>
      <c r="Z9" s="50">
        <f>+S10</f>
        <v>62.6</v>
      </c>
      <c r="AA9" s="52">
        <f>+S9</f>
        <v>60.1</v>
      </c>
      <c r="AB9" s="53">
        <f>IF(+$D$2&gt;=D9,Z9-AA9,"")</f>
        <v>2.5</v>
      </c>
      <c r="AD9" s="208" t="str">
        <f>+E9</f>
        <v>gym</v>
      </c>
      <c r="AE9" s="208" t="str">
        <f>+G9</f>
        <v>-</v>
      </c>
      <c r="AF9" s="208">
        <f>+I9</f>
        <v>10</v>
      </c>
      <c r="AG9" s="208">
        <f>+K9</f>
        <v>20</v>
      </c>
      <c r="AH9" s="208" t="str">
        <f>+M9</f>
        <v>gym</v>
      </c>
      <c r="AI9" s="208">
        <f>+O9</f>
        <v>14</v>
      </c>
      <c r="AJ9" s="208">
        <f>+Q9</f>
        <v>16.1</v>
      </c>
      <c r="AK9" s="207">
        <f t="shared" si="0"/>
        <v>60.1</v>
      </c>
      <c r="AM9" s="45" t="s">
        <v>94</v>
      </c>
      <c r="AN9" s="45" t="s">
        <v>94</v>
      </c>
      <c r="AO9" s="45" t="s">
        <v>94</v>
      </c>
      <c r="AP9" s="45" t="s">
        <v>94</v>
      </c>
      <c r="AQ9" s="45" t="s">
        <v>94</v>
      </c>
      <c r="AR9" s="45" t="s">
        <v>94</v>
      </c>
      <c r="AS9" s="45" t="s">
        <v>94</v>
      </c>
    </row>
    <row r="10" spans="2:45" s="45" customFormat="1" ht="12" customHeight="1" thickBot="1">
      <c r="B10" s="271"/>
      <c r="C10" s="273"/>
      <c r="D10" s="273"/>
      <c r="E10" s="93" t="s">
        <v>11</v>
      </c>
      <c r="F10" s="92"/>
      <c r="G10" s="54" t="s">
        <v>70</v>
      </c>
      <c r="H10" s="92"/>
      <c r="I10" s="54">
        <v>12</v>
      </c>
      <c r="J10" s="92" t="s">
        <v>17</v>
      </c>
      <c r="K10" s="54">
        <v>22</v>
      </c>
      <c r="L10" s="92" t="s">
        <v>15</v>
      </c>
      <c r="M10" s="165" t="s">
        <v>70</v>
      </c>
      <c r="N10" s="194"/>
      <c r="O10" s="54">
        <v>12.5</v>
      </c>
      <c r="P10" s="92" t="s">
        <v>16</v>
      </c>
      <c r="Q10" s="54">
        <v>16.1</v>
      </c>
      <c r="R10" s="55" t="s">
        <v>16</v>
      </c>
      <c r="S10" s="56">
        <f t="shared" si="1"/>
        <v>62.6</v>
      </c>
      <c r="T10" s="265"/>
      <c r="U10" s="189" t="s">
        <v>81</v>
      </c>
      <c r="V10" s="44"/>
      <c r="W10" s="45">
        <v>11</v>
      </c>
      <c r="X10" s="46">
        <f>IF(S12&gt;0,MAX(E12,G12,I12,K12,M12,O12,Q12),"")</f>
        <v>27.4</v>
      </c>
      <c r="Y10" s="57">
        <f>MAX(Q11,O11,M11,K11,I11,G11,E11)</f>
        <v>27</v>
      </c>
      <c r="Z10" s="46">
        <f>+S12</f>
        <v>76.2</v>
      </c>
      <c r="AA10" s="58">
        <f>+S11</f>
        <v>73.1</v>
      </c>
      <c r="AB10" s="53">
        <f>IF(+$D$2&gt;=D11,Z10-AA10,"")</f>
        <v>3.1000000000000085</v>
      </c>
      <c r="AD10" s="208" t="str">
        <f>+E11</f>
        <v>gym</v>
      </c>
      <c r="AE10" s="208">
        <f>+G11</f>
        <v>10</v>
      </c>
      <c r="AF10" s="208">
        <f>+I11</f>
        <v>10</v>
      </c>
      <c r="AG10" s="208">
        <f>+K11</f>
        <v>10</v>
      </c>
      <c r="AH10" s="208" t="str">
        <f>+M11</f>
        <v>-</v>
      </c>
      <c r="AI10" s="208">
        <f>+O11</f>
        <v>27</v>
      </c>
      <c r="AJ10" s="208">
        <f>+Q11</f>
        <v>16.1</v>
      </c>
      <c r="AK10" s="207">
        <f t="shared" si="0"/>
        <v>73.1</v>
      </c>
      <c r="AM10" s="45" t="s">
        <v>2</v>
      </c>
      <c r="AN10" s="45" t="s">
        <v>96</v>
      </c>
      <c r="AO10" s="45" t="s">
        <v>97</v>
      </c>
      <c r="AP10" s="45" t="s">
        <v>98</v>
      </c>
      <c r="AQ10" s="45" t="s">
        <v>6</v>
      </c>
      <c r="AR10" s="45" t="s">
        <v>7</v>
      </c>
      <c r="AS10" s="45" t="s">
        <v>99</v>
      </c>
    </row>
    <row r="11" spans="2:45" s="45" customFormat="1" ht="12" customHeight="1">
      <c r="B11" s="270">
        <v>11</v>
      </c>
      <c r="C11" s="268">
        <f>+C9+7</f>
        <v>38019</v>
      </c>
      <c r="D11" s="268">
        <f>+D9+7</f>
        <v>38025</v>
      </c>
      <c r="E11" s="48" t="s">
        <v>70</v>
      </c>
      <c r="F11" s="144"/>
      <c r="G11" s="143">
        <v>10</v>
      </c>
      <c r="H11" s="144" t="s">
        <v>15</v>
      </c>
      <c r="I11" s="143">
        <v>10</v>
      </c>
      <c r="J11" s="144" t="s">
        <v>17</v>
      </c>
      <c r="K11" s="48">
        <v>10</v>
      </c>
      <c r="L11" s="144" t="s">
        <v>15</v>
      </c>
      <c r="M11" s="163" t="s">
        <v>11</v>
      </c>
      <c r="N11" s="158"/>
      <c r="O11" s="143">
        <v>27</v>
      </c>
      <c r="P11" s="156" t="s">
        <v>0</v>
      </c>
      <c r="Q11" s="48">
        <v>16.1</v>
      </c>
      <c r="R11" s="144" t="s">
        <v>15</v>
      </c>
      <c r="S11" s="49">
        <f t="shared" si="1"/>
        <v>73.1</v>
      </c>
      <c r="T11" s="264">
        <v>69.4</v>
      </c>
      <c r="U11" s="196" t="s">
        <v>83</v>
      </c>
      <c r="V11" s="44"/>
      <c r="W11" s="45">
        <v>10</v>
      </c>
      <c r="X11" s="46">
        <f>IF(S14&gt;0,MAX(E14,G14,I14,K14,M14,O14,Q14),"")</f>
        <v>14</v>
      </c>
      <c r="Y11" s="57">
        <f>MAX(Q13,O13,M13,K13,I13,G13,E13)</f>
        <v>30</v>
      </c>
      <c r="Z11" s="46">
        <f>+S14</f>
        <v>38</v>
      </c>
      <c r="AA11" s="58">
        <f>+S13</f>
        <v>78</v>
      </c>
      <c r="AB11" s="53">
        <f>IF(+$D$2&gt;=D13,Z11-AA11,"")</f>
        <v>-40</v>
      </c>
      <c r="AD11" s="208" t="str">
        <f>+E13</f>
        <v>gym</v>
      </c>
      <c r="AE11" s="208" t="str">
        <f>+G13</f>
        <v>-</v>
      </c>
      <c r="AF11" s="208">
        <f>+I13</f>
        <v>14</v>
      </c>
      <c r="AG11" s="208">
        <f>+K13</f>
        <v>20</v>
      </c>
      <c r="AH11" s="208" t="str">
        <f>+M13</f>
        <v>gym</v>
      </c>
      <c r="AI11" s="208">
        <f>+O13</f>
        <v>14</v>
      </c>
      <c r="AJ11" s="208">
        <f>+Q13</f>
        <v>30</v>
      </c>
      <c r="AK11" s="207">
        <f t="shared" si="0"/>
        <v>78</v>
      </c>
      <c r="AM11" s="45" t="s">
        <v>100</v>
      </c>
      <c r="AN11" s="45" t="s">
        <v>100</v>
      </c>
      <c r="AO11" s="45" t="s">
        <v>100</v>
      </c>
      <c r="AP11" s="45" t="s">
        <v>100</v>
      </c>
      <c r="AQ11" s="45" t="s">
        <v>100</v>
      </c>
      <c r="AR11" s="45" t="s">
        <v>100</v>
      </c>
      <c r="AS11" s="45" t="s">
        <v>100</v>
      </c>
    </row>
    <row r="12" spans="2:45" s="45" customFormat="1" ht="12" customHeight="1" thickBot="1">
      <c r="B12" s="271"/>
      <c r="C12" s="273"/>
      <c r="D12" s="273"/>
      <c r="E12" s="54" t="s">
        <v>70</v>
      </c>
      <c r="F12" s="92"/>
      <c r="G12" s="93">
        <v>10.2</v>
      </c>
      <c r="H12" s="92" t="s">
        <v>15</v>
      </c>
      <c r="I12" s="54">
        <v>12</v>
      </c>
      <c r="J12" s="92" t="s">
        <v>17</v>
      </c>
      <c r="K12" s="54">
        <v>10.5</v>
      </c>
      <c r="L12" s="92" t="s">
        <v>12</v>
      </c>
      <c r="M12" s="161" t="s">
        <v>11</v>
      </c>
      <c r="N12" s="162"/>
      <c r="O12" s="54">
        <v>27.4</v>
      </c>
      <c r="P12" s="195" t="s">
        <v>0</v>
      </c>
      <c r="Q12" s="54">
        <v>16.1</v>
      </c>
      <c r="R12" s="55" t="s">
        <v>15</v>
      </c>
      <c r="S12" s="56">
        <f t="shared" si="1"/>
        <v>76.2</v>
      </c>
      <c r="T12" s="265"/>
      <c r="U12" s="189" t="s">
        <v>81</v>
      </c>
      <c r="V12" s="44"/>
      <c r="W12" s="45">
        <v>9</v>
      </c>
      <c r="X12" s="46">
        <f>IF(S16&gt;0,MAX(E16,G16,I16,K16,M16,O16,Q16),"")</f>
        <v>16.1</v>
      </c>
      <c r="Y12" s="57">
        <f>MAX(Q15,O15,M15,K15,I15,G15,E15)</f>
        <v>25</v>
      </c>
      <c r="Z12" s="46">
        <f>+S16</f>
        <v>55.1</v>
      </c>
      <c r="AA12" s="58">
        <f>+S15</f>
        <v>91.1</v>
      </c>
      <c r="AB12" s="53">
        <f>IF(+$D$2&gt;=D15,Z12-AA12,"")</f>
        <v>-35.99999999999999</v>
      </c>
      <c r="AD12" s="208" t="str">
        <f>+E15</f>
        <v>gym</v>
      </c>
      <c r="AE12" s="208">
        <f>+G15</f>
        <v>15</v>
      </c>
      <c r="AF12" s="208">
        <f>+I15</f>
        <v>15</v>
      </c>
      <c r="AG12" s="208">
        <f>+K15</f>
        <v>20</v>
      </c>
      <c r="AH12" s="208" t="str">
        <f>+M15</f>
        <v>gym</v>
      </c>
      <c r="AI12" s="208">
        <f>+O15</f>
        <v>25</v>
      </c>
      <c r="AJ12" s="208">
        <f>+Q15</f>
        <v>16.1</v>
      </c>
      <c r="AK12" s="207">
        <f t="shared" si="0"/>
        <v>91.1</v>
      </c>
      <c r="AM12" s="45" t="s">
        <v>2</v>
      </c>
      <c r="AN12" s="45" t="s">
        <v>96</v>
      </c>
      <c r="AO12" s="45" t="s">
        <v>97</v>
      </c>
      <c r="AP12" s="45" t="s">
        <v>98</v>
      </c>
      <c r="AQ12" s="45" t="s">
        <v>6</v>
      </c>
      <c r="AR12" s="45" t="s">
        <v>7</v>
      </c>
      <c r="AS12" s="45" t="s">
        <v>99</v>
      </c>
    </row>
    <row r="13" spans="2:45" s="45" customFormat="1" ht="12" customHeight="1">
      <c r="B13" s="270">
        <v>10</v>
      </c>
      <c r="C13" s="268">
        <f>+C11+7</f>
        <v>38026</v>
      </c>
      <c r="D13" s="268">
        <f>+D11+7</f>
        <v>38032</v>
      </c>
      <c r="E13" s="48" t="s">
        <v>70</v>
      </c>
      <c r="F13" s="144"/>
      <c r="G13" s="143" t="s">
        <v>11</v>
      </c>
      <c r="H13" s="144"/>
      <c r="I13" s="143">
        <v>14</v>
      </c>
      <c r="J13" s="144" t="s">
        <v>17</v>
      </c>
      <c r="K13" s="48">
        <v>20</v>
      </c>
      <c r="L13" s="144" t="s">
        <v>15</v>
      </c>
      <c r="M13" s="157" t="s">
        <v>70</v>
      </c>
      <c r="N13" s="158"/>
      <c r="O13" s="143">
        <v>14</v>
      </c>
      <c r="P13" s="144" t="s">
        <v>15</v>
      </c>
      <c r="Q13" s="48">
        <v>30</v>
      </c>
      <c r="R13" s="144" t="s">
        <v>12</v>
      </c>
      <c r="S13" s="49">
        <f t="shared" si="1"/>
        <v>78</v>
      </c>
      <c r="T13" s="264">
        <v>69.1</v>
      </c>
      <c r="U13" s="186"/>
      <c r="V13" s="44"/>
      <c r="W13" s="45">
        <v>8</v>
      </c>
      <c r="X13" s="46">
        <f>IF(S18&gt;0,MAX(E18,G18,I18,K18,M18,O18,Q18),"")</f>
        <v>29</v>
      </c>
      <c r="Y13" s="57">
        <f>MAX(Q17,O17,M17,K17,I17,G17,E17)</f>
        <v>20</v>
      </c>
      <c r="Z13" s="46">
        <f>+S18</f>
        <v>79.1</v>
      </c>
      <c r="AA13" s="58">
        <f>+S17</f>
        <v>55</v>
      </c>
      <c r="AB13" s="53">
        <f>IF(+$D$2&gt;=D17,Z13-AA13,"")</f>
        <v>24.099999999999994</v>
      </c>
      <c r="AD13" s="208" t="str">
        <f>+E17</f>
        <v>gym</v>
      </c>
      <c r="AE13" s="208">
        <f>+G17</f>
        <v>15</v>
      </c>
      <c r="AF13" s="208" t="str">
        <f>+I17</f>
        <v>business</v>
      </c>
      <c r="AG13" s="208">
        <f>+K17</f>
        <v>20</v>
      </c>
      <c r="AH13" s="208" t="str">
        <f>+M17</f>
        <v>packing</v>
      </c>
      <c r="AI13" s="208" t="str">
        <f>+O17</f>
        <v>travel</v>
      </c>
      <c r="AJ13" s="208">
        <f>+Q17</f>
        <v>20</v>
      </c>
      <c r="AK13" s="207">
        <f t="shared" si="0"/>
        <v>55</v>
      </c>
      <c r="AM13" s="45" t="s">
        <v>95</v>
      </c>
      <c r="AN13" s="45" t="s">
        <v>95</v>
      </c>
      <c r="AO13" s="45" t="s">
        <v>95</v>
      </c>
      <c r="AP13" s="45" t="s">
        <v>95</v>
      </c>
      <c r="AQ13" s="45" t="s">
        <v>95</v>
      </c>
      <c r="AR13" s="45" t="s">
        <v>95</v>
      </c>
      <c r="AS13" s="45" t="s">
        <v>95</v>
      </c>
    </row>
    <row r="14" spans="2:37" s="45" customFormat="1" ht="12" customHeight="1" thickBot="1">
      <c r="B14" s="271"/>
      <c r="C14" s="273"/>
      <c r="D14" s="273"/>
      <c r="E14" s="54" t="s">
        <v>70</v>
      </c>
      <c r="F14" s="92"/>
      <c r="G14" s="93" t="s">
        <v>11</v>
      </c>
      <c r="H14" s="92"/>
      <c r="I14" s="54">
        <f>8.7+3.8</f>
        <v>12.5</v>
      </c>
      <c r="J14" s="92" t="s">
        <v>17</v>
      </c>
      <c r="K14" s="54">
        <v>11.5</v>
      </c>
      <c r="L14" s="92" t="s">
        <v>12</v>
      </c>
      <c r="M14" s="165" t="s">
        <v>70</v>
      </c>
      <c r="N14" s="162"/>
      <c r="O14" s="54">
        <v>14</v>
      </c>
      <c r="P14" s="92" t="s">
        <v>12</v>
      </c>
      <c r="Q14" s="93" t="s">
        <v>11</v>
      </c>
      <c r="R14" s="55"/>
      <c r="S14" s="56">
        <f t="shared" si="1"/>
        <v>38</v>
      </c>
      <c r="T14" s="265"/>
      <c r="U14" s="189" t="s">
        <v>84</v>
      </c>
      <c r="V14" s="44"/>
      <c r="W14" s="45">
        <v>7</v>
      </c>
      <c r="X14" s="46">
        <f>IF(S20&gt;0,MAX(E20,G20,I20,K20,M20,O20,Q20),"")</f>
        <v>28</v>
      </c>
      <c r="Y14" s="57">
        <f>MAX(Q19,O19,M19,K19,I19,G19,E19)</f>
        <v>30</v>
      </c>
      <c r="Z14" s="46">
        <f>+S20</f>
        <v>72.5</v>
      </c>
      <c r="AA14" s="58">
        <f>+S19</f>
        <v>65</v>
      </c>
      <c r="AB14" s="53">
        <f>IF(+$D$2&gt;=D19,Z14-AA14,"")</f>
        <v>7.5</v>
      </c>
      <c r="AD14" s="208">
        <f>+E19</f>
        <v>0</v>
      </c>
      <c r="AE14" s="208">
        <f>+G19</f>
        <v>20</v>
      </c>
      <c r="AF14" s="208">
        <f>+I19</f>
        <v>0</v>
      </c>
      <c r="AG14" s="208">
        <f>+K19</f>
        <v>15</v>
      </c>
      <c r="AH14" s="208">
        <f>+M19</f>
        <v>0</v>
      </c>
      <c r="AI14" s="208">
        <f>+O19</f>
        <v>0</v>
      </c>
      <c r="AJ14" s="208">
        <f>+Q19</f>
        <v>30</v>
      </c>
      <c r="AK14" s="207">
        <f t="shared" si="0"/>
        <v>65</v>
      </c>
    </row>
    <row r="15" spans="2:37" s="45" customFormat="1" ht="12" customHeight="1">
      <c r="B15" s="270">
        <v>9</v>
      </c>
      <c r="C15" s="268">
        <f>+C13+7</f>
        <v>38033</v>
      </c>
      <c r="D15" s="268">
        <f>+D13+7</f>
        <v>38039</v>
      </c>
      <c r="E15" s="48" t="s">
        <v>70</v>
      </c>
      <c r="F15" s="144"/>
      <c r="G15" s="143">
        <v>15</v>
      </c>
      <c r="H15" s="144" t="s">
        <v>15</v>
      </c>
      <c r="I15" s="143">
        <v>15</v>
      </c>
      <c r="J15" s="144" t="s">
        <v>16</v>
      </c>
      <c r="K15" s="48">
        <v>20</v>
      </c>
      <c r="L15" s="144" t="s">
        <v>12</v>
      </c>
      <c r="M15" s="157" t="s">
        <v>70</v>
      </c>
      <c r="N15" s="158"/>
      <c r="O15" s="143">
        <v>25</v>
      </c>
      <c r="P15" s="144" t="s">
        <v>16</v>
      </c>
      <c r="Q15" s="48">
        <v>16.1</v>
      </c>
      <c r="R15" s="144" t="s">
        <v>12</v>
      </c>
      <c r="S15" s="49">
        <f t="shared" si="1"/>
        <v>91.1</v>
      </c>
      <c r="T15" s="264">
        <v>69.2</v>
      </c>
      <c r="U15" s="187"/>
      <c r="V15" s="44"/>
      <c r="W15" s="45">
        <v>6</v>
      </c>
      <c r="X15" s="46">
        <f>IF(S22&gt;0,MAX(E22,G22,I22,K22,M22,O22,Q22),"")</f>
        <v>24.5</v>
      </c>
      <c r="Y15" s="57">
        <f>MAX(Q21,O21,M21,K21,I21,G21,E21)</f>
        <v>25</v>
      </c>
      <c r="Z15" s="46">
        <f>+S22</f>
        <v>70.2</v>
      </c>
      <c r="AA15" s="58">
        <f>+S21</f>
        <v>75</v>
      </c>
      <c r="AB15" s="53">
        <f>IF(+$D$2&gt;=D21,Z15-AA15,"")</f>
        <v>-4.799999999999997</v>
      </c>
      <c r="AD15" s="208">
        <f>+E21</f>
        <v>0</v>
      </c>
      <c r="AE15" s="208">
        <f>+G21</f>
        <v>15</v>
      </c>
      <c r="AF15" s="208">
        <f>+I21</f>
        <v>20</v>
      </c>
      <c r="AG15" s="208">
        <f>+K21</f>
        <v>0</v>
      </c>
      <c r="AH15" s="208" t="str">
        <f>+M21</f>
        <v>travel</v>
      </c>
      <c r="AI15" s="208">
        <f>+O21</f>
        <v>15</v>
      </c>
      <c r="AJ15" s="208">
        <f>+Q21</f>
        <v>25</v>
      </c>
      <c r="AK15" s="207">
        <f t="shared" si="0"/>
        <v>75</v>
      </c>
    </row>
    <row r="16" spans="2:37" s="45" customFormat="1" ht="12" customHeight="1" thickBot="1">
      <c r="B16" s="271"/>
      <c r="C16" s="273"/>
      <c r="D16" s="273"/>
      <c r="E16" s="93" t="s">
        <v>11</v>
      </c>
      <c r="F16" s="92"/>
      <c r="G16" s="93" t="s">
        <v>11</v>
      </c>
      <c r="H16" s="92"/>
      <c r="I16" s="93">
        <v>5.5</v>
      </c>
      <c r="J16" s="92" t="s">
        <v>12</v>
      </c>
      <c r="K16" s="54">
        <v>11</v>
      </c>
      <c r="L16" s="92" t="s">
        <v>12</v>
      </c>
      <c r="M16" s="161">
        <v>7.5</v>
      </c>
      <c r="N16" s="162" t="s">
        <v>16</v>
      </c>
      <c r="O16" s="54">
        <v>15</v>
      </c>
      <c r="P16" s="92" t="s">
        <v>15</v>
      </c>
      <c r="Q16" s="54">
        <v>16.1</v>
      </c>
      <c r="R16" s="55" t="s">
        <v>15</v>
      </c>
      <c r="S16" s="56">
        <f t="shared" si="1"/>
        <v>55.1</v>
      </c>
      <c r="T16" s="265"/>
      <c r="U16" s="189" t="s">
        <v>85</v>
      </c>
      <c r="V16" s="44"/>
      <c r="W16" s="45">
        <v>5</v>
      </c>
      <c r="X16" s="46">
        <f>IF(S24&gt;0,MAX(E24,G24,I24,K24,M24,O24,Q24),"")</f>
        <v>33.3</v>
      </c>
      <c r="Y16" s="57">
        <f>MAX(Q23,O23,M23,K23,I23,G23,E23)</f>
        <v>33.3</v>
      </c>
      <c r="Z16" s="46">
        <f>+S24</f>
        <v>69.3</v>
      </c>
      <c r="AA16" s="58">
        <f>+S23</f>
        <v>83.3</v>
      </c>
      <c r="AB16" s="53">
        <f>IF(+$D$2&gt;=D23,Z16-AA16,"")</f>
        <v>-14</v>
      </c>
      <c r="AD16" s="208" t="str">
        <f>+E23</f>
        <v>gym</v>
      </c>
      <c r="AE16" s="208">
        <f>+G23</f>
        <v>15</v>
      </c>
      <c r="AF16" s="208">
        <f>+I23</f>
        <v>15</v>
      </c>
      <c r="AG16" s="208">
        <f>+K23</f>
        <v>20</v>
      </c>
      <c r="AH16" s="208" t="str">
        <f>+M23</f>
        <v>-</v>
      </c>
      <c r="AI16" s="208" t="str">
        <f>+O23</f>
        <v>travel</v>
      </c>
      <c r="AJ16" s="208">
        <f>+Q23</f>
        <v>33.3</v>
      </c>
      <c r="AK16" s="207">
        <f t="shared" si="0"/>
        <v>83.3</v>
      </c>
    </row>
    <row r="17" spans="2:37" s="45" customFormat="1" ht="12" customHeight="1">
      <c r="B17" s="270">
        <v>8</v>
      </c>
      <c r="C17" s="268">
        <f>+C15+7</f>
        <v>38040</v>
      </c>
      <c r="D17" s="268">
        <f>+D15+7</f>
        <v>38046</v>
      </c>
      <c r="E17" s="48" t="s">
        <v>70</v>
      </c>
      <c r="F17" s="144"/>
      <c r="G17" s="143">
        <v>15</v>
      </c>
      <c r="H17" s="144" t="s">
        <v>15</v>
      </c>
      <c r="I17" s="180" t="s">
        <v>71</v>
      </c>
      <c r="J17" s="144"/>
      <c r="K17" s="48">
        <v>20</v>
      </c>
      <c r="L17" s="144" t="s">
        <v>15</v>
      </c>
      <c r="M17" s="164" t="s">
        <v>72</v>
      </c>
      <c r="N17" s="158"/>
      <c r="O17" s="48" t="s">
        <v>68</v>
      </c>
      <c r="P17" s="144"/>
      <c r="Q17" s="48">
        <v>20</v>
      </c>
      <c r="R17" s="144" t="s">
        <v>15</v>
      </c>
      <c r="S17" s="49">
        <f t="shared" si="1"/>
        <v>55</v>
      </c>
      <c r="T17" s="264"/>
      <c r="U17" s="186"/>
      <c r="V17" s="44"/>
      <c r="W17" s="45">
        <v>4</v>
      </c>
      <c r="X17" s="46">
        <f>IF(S26&gt;0,MAX(E26,G26,I26,K26,M26,O26,Q26),"")</f>
        <v>27</v>
      </c>
      <c r="Y17" s="57">
        <f>MAX(Q25,O25,M25,K25,I25,G25,E25)</f>
        <v>25</v>
      </c>
      <c r="Z17" s="46">
        <f>+S26</f>
        <v>77.5</v>
      </c>
      <c r="AA17" s="58">
        <f>+S25</f>
        <v>69</v>
      </c>
      <c r="AB17" s="53">
        <f>IF(+$D$2&gt;=D25,Z17-AA17,"")</f>
        <v>8.5</v>
      </c>
      <c r="AD17" s="208" t="str">
        <f>+E25</f>
        <v>travel</v>
      </c>
      <c r="AE17" s="208" t="str">
        <f>+G25</f>
        <v>gym</v>
      </c>
      <c r="AF17" s="208" t="str">
        <f>+I25</f>
        <v>-</v>
      </c>
      <c r="AG17" s="208">
        <f>+K25</f>
        <v>20</v>
      </c>
      <c r="AH17" s="208">
        <f>+M25</f>
        <v>12</v>
      </c>
      <c r="AI17" s="208">
        <f>+O25</f>
        <v>12</v>
      </c>
      <c r="AJ17" s="208">
        <f>+Q25</f>
        <v>25</v>
      </c>
      <c r="AK17" s="207">
        <f t="shared" si="0"/>
        <v>69</v>
      </c>
    </row>
    <row r="18" spans="2:37" s="45" customFormat="1" ht="12" customHeight="1" thickBot="1">
      <c r="B18" s="271"/>
      <c r="C18" s="273"/>
      <c r="D18" s="273"/>
      <c r="E18" s="93" t="s">
        <v>11</v>
      </c>
      <c r="F18" s="92"/>
      <c r="G18" s="93">
        <v>16</v>
      </c>
      <c r="H18" s="92" t="s">
        <v>15</v>
      </c>
      <c r="I18" s="54">
        <v>14.1</v>
      </c>
      <c r="J18" s="92" t="s">
        <v>17</v>
      </c>
      <c r="K18" s="54">
        <v>20</v>
      </c>
      <c r="L18" s="92" t="s">
        <v>15</v>
      </c>
      <c r="M18" s="266"/>
      <c r="N18" s="267"/>
      <c r="O18" s="54"/>
      <c r="P18" s="92"/>
      <c r="Q18" s="54">
        <v>29</v>
      </c>
      <c r="R18" s="55" t="s">
        <v>15</v>
      </c>
      <c r="S18" s="56">
        <f t="shared" si="1"/>
        <v>79.1</v>
      </c>
      <c r="T18" s="265"/>
      <c r="U18" s="189" t="s">
        <v>88</v>
      </c>
      <c r="V18" s="44"/>
      <c r="W18" s="45">
        <v>3</v>
      </c>
      <c r="X18" s="46">
        <f>IF(S28&gt;0,MAX(E28,G28,I28,K28,M28,O28,Q28),"")</f>
        <v>31.5</v>
      </c>
      <c r="Y18" s="57">
        <f>MAX(Q27,O27,M27,K27,I27,G27,E27)</f>
        <v>32</v>
      </c>
      <c r="Z18" s="46">
        <f>+S28</f>
        <v>83</v>
      </c>
      <c r="AA18" s="58">
        <f>+S27</f>
        <v>97</v>
      </c>
      <c r="AB18" s="53">
        <f>IF(+$D$2&gt;=D27,Z18-AA18,"")</f>
        <v>-14</v>
      </c>
      <c r="AD18" s="208" t="str">
        <f>+E27</f>
        <v>gym</v>
      </c>
      <c r="AE18" s="208">
        <f>+G27</f>
        <v>15</v>
      </c>
      <c r="AF18" s="208">
        <f>+I27</f>
        <v>15</v>
      </c>
      <c r="AG18" s="208">
        <f>+K27</f>
        <v>20</v>
      </c>
      <c r="AH18" s="208" t="str">
        <f>+M27</f>
        <v>gym</v>
      </c>
      <c r="AI18" s="208">
        <f>+O27</f>
        <v>15</v>
      </c>
      <c r="AJ18" s="208">
        <f>+Q27</f>
        <v>32</v>
      </c>
      <c r="AK18" s="207">
        <f t="shared" si="0"/>
        <v>97</v>
      </c>
    </row>
    <row r="19" spans="2:37" s="45" customFormat="1" ht="12" customHeight="1">
      <c r="B19" s="270">
        <v>7</v>
      </c>
      <c r="C19" s="268">
        <f>+C17+7</f>
        <v>38047</v>
      </c>
      <c r="D19" s="268">
        <f>+D17+7</f>
        <v>38053</v>
      </c>
      <c r="E19" s="48"/>
      <c r="F19" s="144"/>
      <c r="G19" s="143">
        <v>20</v>
      </c>
      <c r="H19" s="144" t="s">
        <v>12</v>
      </c>
      <c r="I19" s="143"/>
      <c r="J19" s="144"/>
      <c r="K19" s="48">
        <v>15</v>
      </c>
      <c r="L19" s="144" t="s">
        <v>12</v>
      </c>
      <c r="M19" s="157"/>
      <c r="N19" s="158"/>
      <c r="O19" s="143"/>
      <c r="P19" s="144"/>
      <c r="Q19" s="48">
        <v>30</v>
      </c>
      <c r="R19" s="144" t="s">
        <v>15</v>
      </c>
      <c r="S19" s="49">
        <f t="shared" si="1"/>
        <v>65</v>
      </c>
      <c r="T19" s="264"/>
      <c r="U19" s="188" t="s">
        <v>89</v>
      </c>
      <c r="V19" s="44"/>
      <c r="W19" s="45">
        <v>2</v>
      </c>
      <c r="X19" s="46">
        <f>IF(S30&gt;0,MAX(E30,G30,I30,K30,M30,O30,Q30),"")</f>
        <v>26</v>
      </c>
      <c r="Y19" s="57">
        <f>MAX(Q29,O29,M29,K29,I29,G29,E29)</f>
        <v>25</v>
      </c>
      <c r="Z19" s="46">
        <f>+S30</f>
        <v>75.2</v>
      </c>
      <c r="AA19" s="58">
        <f>+S29</f>
        <v>73</v>
      </c>
      <c r="AB19" s="53">
        <f>IF(+$D$2&gt;=D29,Z19-AA19,"")</f>
        <v>2.200000000000003</v>
      </c>
      <c r="AD19" s="208" t="str">
        <f>+E29</f>
        <v>gym</v>
      </c>
      <c r="AE19" s="208" t="str">
        <f>+G29</f>
        <v>-</v>
      </c>
      <c r="AF19" s="208">
        <f>+I29</f>
        <v>15</v>
      </c>
      <c r="AG19" s="208">
        <f>+K29</f>
        <v>10</v>
      </c>
      <c r="AH19" s="208">
        <f>+M29</f>
        <v>25</v>
      </c>
      <c r="AI19" s="208" t="str">
        <f>+O29</f>
        <v>-</v>
      </c>
      <c r="AJ19" s="208">
        <f>+Q29</f>
        <v>23</v>
      </c>
      <c r="AK19" s="207">
        <f t="shared" si="0"/>
        <v>73</v>
      </c>
    </row>
    <row r="20" spans="2:37" s="45" customFormat="1" ht="12" customHeight="1" thickBot="1">
      <c r="B20" s="271"/>
      <c r="C20" s="273"/>
      <c r="D20" s="273"/>
      <c r="E20" s="93" t="s">
        <v>11</v>
      </c>
      <c r="F20" s="92"/>
      <c r="G20" s="93">
        <v>16</v>
      </c>
      <c r="H20" s="92" t="s">
        <v>12</v>
      </c>
      <c r="I20" s="93" t="s">
        <v>11</v>
      </c>
      <c r="J20" s="92"/>
      <c r="K20" s="54">
        <v>14</v>
      </c>
      <c r="L20" s="92" t="s">
        <v>15</v>
      </c>
      <c r="M20" s="161">
        <v>14.5</v>
      </c>
      <c r="N20" s="162" t="s">
        <v>15</v>
      </c>
      <c r="O20" s="93" t="s">
        <v>11</v>
      </c>
      <c r="P20" s="92"/>
      <c r="Q20" s="54">
        <v>28</v>
      </c>
      <c r="R20" s="55" t="s">
        <v>15</v>
      </c>
      <c r="S20" s="56">
        <f t="shared" si="1"/>
        <v>72.5</v>
      </c>
      <c r="T20" s="265"/>
      <c r="U20" s="185"/>
      <c r="V20" s="44"/>
      <c r="W20" s="45">
        <v>1</v>
      </c>
      <c r="X20" s="46">
        <f>IF(S32&gt;0,MAX(E32,G32,I32,K32,M32,O32,Q32),"")</f>
        <v>42.2</v>
      </c>
      <c r="Y20" s="59">
        <f>MAX(Q31,O31,M31,K31,I31,G31,E31)</f>
        <v>42.2</v>
      </c>
      <c r="Z20" s="46">
        <f>+S32</f>
        <v>70</v>
      </c>
      <c r="AA20" s="60">
        <f>+S31</f>
        <v>62.2</v>
      </c>
      <c r="AB20" s="53">
        <f>IF(+$D$2&gt;=D31,Z20-AA20,"")</f>
        <v>7.799999999999997</v>
      </c>
      <c r="AD20" s="208" t="str">
        <f>+E31</f>
        <v>-</v>
      </c>
      <c r="AE20" s="208">
        <f>+G31</f>
        <v>10</v>
      </c>
      <c r="AF20" s="208" t="str">
        <f>+I31</f>
        <v>-</v>
      </c>
      <c r="AG20" s="208" t="str">
        <f>+K31</f>
        <v>travel</v>
      </c>
      <c r="AH20" s="208">
        <f>+M31</f>
        <v>5</v>
      </c>
      <c r="AI20" s="208">
        <f>+O31</f>
        <v>5</v>
      </c>
      <c r="AJ20" s="208">
        <f>+Q31</f>
        <v>42.2</v>
      </c>
      <c r="AK20" s="207">
        <f t="shared" si="0"/>
        <v>62.2</v>
      </c>
    </row>
    <row r="21" spans="2:37" s="45" customFormat="1" ht="12" customHeight="1">
      <c r="B21" s="270">
        <v>6</v>
      </c>
      <c r="C21" s="268">
        <f>+C19+7</f>
        <v>38054</v>
      </c>
      <c r="D21" s="268">
        <f>+D19+7</f>
        <v>38060</v>
      </c>
      <c r="E21" s="48"/>
      <c r="F21" s="144"/>
      <c r="G21" s="143">
        <v>15</v>
      </c>
      <c r="H21" s="144" t="s">
        <v>15</v>
      </c>
      <c r="I21" s="143">
        <v>20</v>
      </c>
      <c r="J21" s="144" t="s">
        <v>16</v>
      </c>
      <c r="K21" s="48"/>
      <c r="L21" s="144"/>
      <c r="M21" s="157" t="s">
        <v>68</v>
      </c>
      <c r="N21" s="158"/>
      <c r="O21" s="143">
        <v>15</v>
      </c>
      <c r="P21" s="144" t="s">
        <v>12</v>
      </c>
      <c r="Q21" s="48">
        <v>25</v>
      </c>
      <c r="R21" s="144" t="s">
        <v>15</v>
      </c>
      <c r="S21" s="49">
        <f t="shared" si="1"/>
        <v>75</v>
      </c>
      <c r="T21" s="264">
        <v>69.2</v>
      </c>
      <c r="U21" s="188" t="s">
        <v>90</v>
      </c>
      <c r="V21" s="44"/>
      <c r="X21" s="61"/>
      <c r="Y21" s="62"/>
      <c r="Z21" s="63">
        <f>SUM(Z9:Z20)</f>
        <v>828.7</v>
      </c>
      <c r="AA21" s="63">
        <f>SUM(AA9:AA20)</f>
        <v>881.8</v>
      </c>
      <c r="AB21" s="64">
        <f>SUM(AB9:AB20)</f>
        <v>-53.09999999999998</v>
      </c>
      <c r="AD21" s="45">
        <f>DCOUNT(dbmo,"mo",AM8:AM9)</f>
        <v>0</v>
      </c>
      <c r="AE21" s="45">
        <f>DCOUNT(dbdi,"di",AN8:AN9)</f>
        <v>1</v>
      </c>
      <c r="AF21" s="45">
        <f>DCOUNT(dbmi,"mi",AO8:AO9)</f>
        <v>1</v>
      </c>
      <c r="AG21" s="45">
        <f>DCOUNT(dbdo,"do",AP8:AP9)</f>
        <v>7</v>
      </c>
      <c r="AH21" s="45">
        <f>DCOUNT(dbfr,"fr",AQ8:AQ9)</f>
        <v>1</v>
      </c>
      <c r="AI21" s="45">
        <f>DCOUNT(dbsa,"sa",AR8:AR9)</f>
        <v>2</v>
      </c>
      <c r="AJ21" s="45">
        <f>DCOUNT(dbso,"so",AS8:AS9)</f>
        <v>9</v>
      </c>
      <c r="AK21" s="45">
        <f>SUM(AD21:AJ21)-AK22-AK23</f>
        <v>11</v>
      </c>
    </row>
    <row r="22" spans="2:37" s="45" customFormat="1" ht="12" customHeight="1" thickBot="1">
      <c r="B22" s="271"/>
      <c r="C22" s="273"/>
      <c r="D22" s="273"/>
      <c r="E22" s="93" t="s">
        <v>11</v>
      </c>
      <c r="F22" s="92"/>
      <c r="G22" s="93">
        <v>14</v>
      </c>
      <c r="H22" s="92" t="s">
        <v>15</v>
      </c>
      <c r="I22" s="54">
        <v>11</v>
      </c>
      <c r="J22" s="92" t="s">
        <v>15</v>
      </c>
      <c r="K22" s="54">
        <v>13</v>
      </c>
      <c r="L22" s="92" t="s">
        <v>16</v>
      </c>
      <c r="M22" s="161" t="s">
        <v>11</v>
      </c>
      <c r="N22" s="162"/>
      <c r="O22" s="54">
        <v>7.7</v>
      </c>
      <c r="P22" s="195" t="s">
        <v>0</v>
      </c>
      <c r="Q22" s="54">
        <v>24.5</v>
      </c>
      <c r="R22" s="55" t="s">
        <v>15</v>
      </c>
      <c r="S22" s="56">
        <f t="shared" si="1"/>
        <v>70.2</v>
      </c>
      <c r="T22" s="265"/>
      <c r="U22" s="197" t="s">
        <v>86</v>
      </c>
      <c r="V22" s="44"/>
      <c r="X22" s="61"/>
      <c r="Y22" s="47"/>
      <c r="Z22" s="47"/>
      <c r="AA22" s="47"/>
      <c r="AD22" s="45">
        <f>DCOUNT(dbmo,"mo",AM10:AM11)</f>
        <v>0</v>
      </c>
      <c r="AE22" s="45">
        <f>DCOUNT(dbdi,"di",AN10:AN11)</f>
        <v>0</v>
      </c>
      <c r="AF22" s="45">
        <f>DCOUNT(dbmi,"mi",AO10:AO11)</f>
        <v>0</v>
      </c>
      <c r="AG22" s="45">
        <f>DCOUNT(dbdo,"do",AP10:AP11)</f>
        <v>0</v>
      </c>
      <c r="AH22" s="45">
        <f>DCOUNT(dbfr,"fr",AQ10:AQ11)</f>
        <v>1</v>
      </c>
      <c r="AI22" s="45">
        <f>DCOUNT(dbsa,"sa",AR10:AR11)</f>
        <v>2</v>
      </c>
      <c r="AJ22" s="45">
        <f>DCOUNT(dbso,"so",AS10:AS11)</f>
        <v>7</v>
      </c>
      <c r="AK22" s="45">
        <f>SUM(AD22:AJ22)-AK23</f>
        <v>5</v>
      </c>
    </row>
    <row r="23" spans="2:37" s="45" customFormat="1" ht="12" customHeight="1">
      <c r="B23" s="270">
        <v>5</v>
      </c>
      <c r="C23" s="268">
        <f>+C21+7</f>
        <v>38061</v>
      </c>
      <c r="D23" s="268">
        <f>+D21+7</f>
        <v>38067</v>
      </c>
      <c r="E23" s="48" t="s">
        <v>70</v>
      </c>
      <c r="F23" s="144"/>
      <c r="G23" s="143">
        <v>15</v>
      </c>
      <c r="H23" s="144" t="s">
        <v>12</v>
      </c>
      <c r="I23" s="143">
        <v>15</v>
      </c>
      <c r="J23" s="144" t="s">
        <v>15</v>
      </c>
      <c r="K23" s="48">
        <v>20</v>
      </c>
      <c r="L23" s="144" t="s">
        <v>12</v>
      </c>
      <c r="M23" s="157" t="s">
        <v>11</v>
      </c>
      <c r="N23" s="158"/>
      <c r="O23" s="48" t="s">
        <v>68</v>
      </c>
      <c r="P23" s="144"/>
      <c r="Q23" s="48">
        <v>33.3</v>
      </c>
      <c r="R23" s="156" t="s">
        <v>0</v>
      </c>
      <c r="S23" s="49">
        <f t="shared" si="1"/>
        <v>83.3</v>
      </c>
      <c r="T23" s="264"/>
      <c r="U23" s="200" t="s">
        <v>69</v>
      </c>
      <c r="V23" s="44"/>
      <c r="Y23" s="62"/>
      <c r="Z23" s="263"/>
      <c r="AA23" s="263"/>
      <c r="AD23" s="45">
        <f>DCOUNT(dbmo,"mo",AM12:AM13)</f>
        <v>0</v>
      </c>
      <c r="AE23" s="45">
        <f>DCOUNT(dbdi,"di",AN12:AN13)</f>
        <v>0</v>
      </c>
      <c r="AF23" s="45">
        <f>DCOUNT(dbmi,"mi",AO12:AO13)</f>
        <v>0</v>
      </c>
      <c r="AG23" s="45">
        <f>DCOUNT(dbdo,"do",AP12:AP13)</f>
        <v>0</v>
      </c>
      <c r="AH23" s="45">
        <f>DCOUNT(dbfr,"fr",AQ12:AQ13)</f>
        <v>0</v>
      </c>
      <c r="AI23" s="45">
        <f>DCOUNT(dbsa,"sa",AR12:AR13)</f>
        <v>0</v>
      </c>
      <c r="AJ23" s="45">
        <f>DCOUNT(dbso,"so",AS12:AS13)</f>
        <v>5</v>
      </c>
      <c r="AK23" s="45">
        <f>SUM(AD23:AJ23)</f>
        <v>5</v>
      </c>
    </row>
    <row r="24" spans="2:36" s="45" customFormat="1" ht="12" customHeight="1" thickBot="1">
      <c r="B24" s="271"/>
      <c r="C24" s="273"/>
      <c r="D24" s="273"/>
      <c r="E24" s="93" t="s">
        <v>11</v>
      </c>
      <c r="F24" s="92"/>
      <c r="G24" s="93">
        <v>15.5</v>
      </c>
      <c r="H24" s="92" t="s">
        <v>15</v>
      </c>
      <c r="I24" s="93" t="s">
        <v>11</v>
      </c>
      <c r="J24" s="92"/>
      <c r="K24" s="54">
        <v>20.5</v>
      </c>
      <c r="L24" s="92" t="s">
        <v>15</v>
      </c>
      <c r="M24" s="161" t="s">
        <v>11</v>
      </c>
      <c r="N24" s="162"/>
      <c r="O24" s="93" t="s">
        <v>11</v>
      </c>
      <c r="P24" s="92"/>
      <c r="Q24" s="54">
        <v>33.3</v>
      </c>
      <c r="R24" s="195" t="s">
        <v>0</v>
      </c>
      <c r="S24" s="56">
        <f t="shared" si="1"/>
        <v>69.3</v>
      </c>
      <c r="T24" s="265"/>
      <c r="U24" s="189" t="s">
        <v>91</v>
      </c>
      <c r="V24" s="44"/>
      <c r="X24" s="62"/>
      <c r="Y24" s="47"/>
      <c r="Z24" s="263"/>
      <c r="AA24" s="263"/>
      <c r="AD24" s="45" t="s">
        <v>2</v>
      </c>
      <c r="AE24" s="45" t="s">
        <v>96</v>
      </c>
      <c r="AF24" s="45" t="s">
        <v>97</v>
      </c>
      <c r="AG24" s="45" t="s">
        <v>98</v>
      </c>
      <c r="AH24" s="45" t="s">
        <v>6</v>
      </c>
      <c r="AI24" s="45" t="s">
        <v>7</v>
      </c>
      <c r="AJ24" s="45" t="s">
        <v>99</v>
      </c>
    </row>
    <row r="25" spans="2:37" s="45" customFormat="1" ht="12" customHeight="1">
      <c r="B25" s="270">
        <v>4</v>
      </c>
      <c r="C25" s="268">
        <f>+C23+7</f>
        <v>38068</v>
      </c>
      <c r="D25" s="268">
        <f>+D23+7</f>
        <v>38074</v>
      </c>
      <c r="E25" s="48" t="s">
        <v>68</v>
      </c>
      <c r="F25" s="144"/>
      <c r="G25" s="48" t="s">
        <v>70</v>
      </c>
      <c r="H25" s="144"/>
      <c r="I25" s="143" t="s">
        <v>11</v>
      </c>
      <c r="J25" s="144"/>
      <c r="K25" s="48">
        <v>20</v>
      </c>
      <c r="L25" s="144" t="s">
        <v>12</v>
      </c>
      <c r="M25" s="157">
        <v>12</v>
      </c>
      <c r="N25" s="158" t="s">
        <v>17</v>
      </c>
      <c r="O25" s="143">
        <v>12</v>
      </c>
      <c r="P25" s="144" t="s">
        <v>15</v>
      </c>
      <c r="Q25" s="48">
        <v>25</v>
      </c>
      <c r="R25" s="144" t="s">
        <v>15</v>
      </c>
      <c r="S25" s="49">
        <f t="shared" si="1"/>
        <v>69</v>
      </c>
      <c r="T25" s="264">
        <v>68</v>
      </c>
      <c r="U25" s="198"/>
      <c r="V25" s="44"/>
      <c r="X25" s="62"/>
      <c r="Y25" s="62"/>
      <c r="Z25" s="263"/>
      <c r="AA25" s="263"/>
      <c r="AD25" s="209" t="str">
        <f>+E8</f>
        <v>gym</v>
      </c>
      <c r="AE25" s="209">
        <f>+G8</f>
        <v>10.7</v>
      </c>
      <c r="AF25" s="209" t="str">
        <f>+I8</f>
        <v>-</v>
      </c>
      <c r="AG25" s="209">
        <f>+K8</f>
        <v>19</v>
      </c>
      <c r="AH25" s="209" t="str">
        <f>+M8</f>
        <v>-</v>
      </c>
      <c r="AI25" s="209" t="str">
        <f>+O8</f>
        <v>-</v>
      </c>
      <c r="AJ25" s="209">
        <f>+Q8</f>
        <v>16.1</v>
      </c>
      <c r="AK25" s="207">
        <f aca="true" t="shared" si="2" ref="AK25:AK36">SUM(AD25:AJ25)</f>
        <v>45.8</v>
      </c>
    </row>
    <row r="26" spans="2:37" s="45" customFormat="1" ht="12" customHeight="1" thickBot="1">
      <c r="B26" s="271"/>
      <c r="C26" s="273"/>
      <c r="D26" s="273"/>
      <c r="E26" s="93" t="s">
        <v>11</v>
      </c>
      <c r="F26" s="92"/>
      <c r="G26" s="54" t="s">
        <v>70</v>
      </c>
      <c r="H26" s="92"/>
      <c r="I26" s="54">
        <v>7</v>
      </c>
      <c r="J26" s="92" t="s">
        <v>12</v>
      </c>
      <c r="K26" s="54">
        <v>10</v>
      </c>
      <c r="L26" s="92" t="s">
        <v>12</v>
      </c>
      <c r="M26" s="161">
        <v>19.5</v>
      </c>
      <c r="N26" s="162" t="s">
        <v>12</v>
      </c>
      <c r="O26" s="54">
        <v>14</v>
      </c>
      <c r="P26" s="92" t="s">
        <v>16</v>
      </c>
      <c r="Q26" s="54">
        <v>27</v>
      </c>
      <c r="R26" s="55" t="s">
        <v>15</v>
      </c>
      <c r="S26" s="56">
        <f t="shared" si="1"/>
        <v>77.5</v>
      </c>
      <c r="T26" s="265"/>
      <c r="U26" s="185"/>
      <c r="V26" s="44"/>
      <c r="X26" s="62"/>
      <c r="Y26" s="47"/>
      <c r="Z26" s="263"/>
      <c r="AA26" s="263"/>
      <c r="AD26" s="209" t="str">
        <f>+E10</f>
        <v>-</v>
      </c>
      <c r="AE26" s="209" t="str">
        <f>+G10</f>
        <v>gym</v>
      </c>
      <c r="AF26" s="209">
        <f>+I10</f>
        <v>12</v>
      </c>
      <c r="AG26" s="209">
        <f>+K10</f>
        <v>22</v>
      </c>
      <c r="AH26" s="209" t="str">
        <f>+M10</f>
        <v>gym</v>
      </c>
      <c r="AI26" s="209">
        <f>+O10</f>
        <v>12.5</v>
      </c>
      <c r="AJ26" s="209">
        <f>+Q10</f>
        <v>16.1</v>
      </c>
      <c r="AK26" s="207">
        <f t="shared" si="2"/>
        <v>62.6</v>
      </c>
    </row>
    <row r="27" spans="2:37" s="45" customFormat="1" ht="12" customHeight="1">
      <c r="B27" s="270">
        <v>3</v>
      </c>
      <c r="C27" s="268">
        <f>+C25+7</f>
        <v>38075</v>
      </c>
      <c r="D27" s="268">
        <f>+D25+7</f>
        <v>38081</v>
      </c>
      <c r="E27" s="48" t="s">
        <v>70</v>
      </c>
      <c r="F27" s="144"/>
      <c r="G27" s="143">
        <v>15</v>
      </c>
      <c r="H27" s="144" t="s">
        <v>12</v>
      </c>
      <c r="I27" s="143">
        <v>15</v>
      </c>
      <c r="J27" s="144" t="s">
        <v>15</v>
      </c>
      <c r="K27" s="48">
        <v>20</v>
      </c>
      <c r="L27" s="144" t="s">
        <v>12</v>
      </c>
      <c r="M27" s="157" t="s">
        <v>70</v>
      </c>
      <c r="N27" s="158"/>
      <c r="O27" s="143">
        <v>15</v>
      </c>
      <c r="P27" s="144" t="s">
        <v>15</v>
      </c>
      <c r="Q27" s="48">
        <v>32</v>
      </c>
      <c r="R27" s="144" t="s">
        <v>15</v>
      </c>
      <c r="S27" s="49">
        <f t="shared" si="1"/>
        <v>97</v>
      </c>
      <c r="T27" s="264">
        <v>68.3</v>
      </c>
      <c r="U27" s="186" t="s">
        <v>92</v>
      </c>
      <c r="V27" s="44"/>
      <c r="X27" s="62"/>
      <c r="Y27" s="62"/>
      <c r="Z27" s="263"/>
      <c r="AA27" s="263"/>
      <c r="AD27" s="209" t="str">
        <f>+E12</f>
        <v>gym</v>
      </c>
      <c r="AE27" s="209">
        <f>+G12</f>
        <v>10.2</v>
      </c>
      <c r="AF27" s="209">
        <f>+I12</f>
        <v>12</v>
      </c>
      <c r="AG27" s="209">
        <f>+K12</f>
        <v>10.5</v>
      </c>
      <c r="AH27" s="209" t="str">
        <f>+M12</f>
        <v>-</v>
      </c>
      <c r="AI27" s="209">
        <f>+O12</f>
        <v>27.4</v>
      </c>
      <c r="AJ27" s="209">
        <f>+Q12</f>
        <v>16.1</v>
      </c>
      <c r="AK27" s="207">
        <f t="shared" si="2"/>
        <v>76.2</v>
      </c>
    </row>
    <row r="28" spans="2:37" s="45" customFormat="1" ht="12" customHeight="1" thickBot="1">
      <c r="B28" s="271"/>
      <c r="C28" s="273"/>
      <c r="D28" s="273"/>
      <c r="E28" s="54" t="s">
        <v>70</v>
      </c>
      <c r="F28" s="92"/>
      <c r="G28" s="93">
        <v>16</v>
      </c>
      <c r="H28" s="92" t="s">
        <v>16</v>
      </c>
      <c r="I28" s="93" t="s">
        <v>11</v>
      </c>
      <c r="J28" s="92"/>
      <c r="K28" s="54">
        <v>20</v>
      </c>
      <c r="L28" s="92" t="s">
        <v>12</v>
      </c>
      <c r="M28" s="266" t="s">
        <v>11</v>
      </c>
      <c r="N28" s="267"/>
      <c r="O28" s="54">
        <v>31.5</v>
      </c>
      <c r="P28" s="195" t="s">
        <v>0</v>
      </c>
      <c r="Q28" s="54">
        <v>15.5</v>
      </c>
      <c r="R28" s="55" t="s">
        <v>15</v>
      </c>
      <c r="S28" s="56">
        <f t="shared" si="1"/>
        <v>83</v>
      </c>
      <c r="T28" s="265"/>
      <c r="U28" s="197" t="s">
        <v>93</v>
      </c>
      <c r="V28" s="44"/>
      <c r="X28" s="62"/>
      <c r="Y28" s="47"/>
      <c r="Z28" s="263"/>
      <c r="AA28" s="263"/>
      <c r="AD28" s="209" t="str">
        <f>+E14</f>
        <v>gym</v>
      </c>
      <c r="AE28" s="209" t="str">
        <f>+G14</f>
        <v>-</v>
      </c>
      <c r="AF28" s="209">
        <f>+I14</f>
        <v>12.5</v>
      </c>
      <c r="AG28" s="209">
        <f>+K14</f>
        <v>11.5</v>
      </c>
      <c r="AH28" s="209" t="str">
        <f>+M14</f>
        <v>gym</v>
      </c>
      <c r="AI28" s="209">
        <f>+O14</f>
        <v>14</v>
      </c>
      <c r="AJ28" s="209" t="str">
        <f>+Q14</f>
        <v>-</v>
      </c>
      <c r="AK28" s="207">
        <f t="shared" si="2"/>
        <v>38</v>
      </c>
    </row>
    <row r="29" spans="2:37" s="45" customFormat="1" ht="12" customHeight="1">
      <c r="B29" s="270">
        <v>2</v>
      </c>
      <c r="C29" s="268">
        <f>+C27+7</f>
        <v>38082</v>
      </c>
      <c r="D29" s="268">
        <f>+D27+7</f>
        <v>38088</v>
      </c>
      <c r="E29" s="48" t="s">
        <v>70</v>
      </c>
      <c r="F29" s="144"/>
      <c r="G29" s="143" t="s">
        <v>11</v>
      </c>
      <c r="H29" s="144"/>
      <c r="I29" s="143">
        <v>15</v>
      </c>
      <c r="J29" s="144" t="s">
        <v>17</v>
      </c>
      <c r="K29" s="48">
        <v>10</v>
      </c>
      <c r="L29" s="144" t="s">
        <v>12</v>
      </c>
      <c r="M29" s="157">
        <v>25</v>
      </c>
      <c r="N29" s="158" t="s">
        <v>15</v>
      </c>
      <c r="O29" s="143" t="s">
        <v>11</v>
      </c>
      <c r="P29" s="144"/>
      <c r="Q29" s="48">
        <v>23</v>
      </c>
      <c r="R29" s="144" t="s">
        <v>15</v>
      </c>
      <c r="S29" s="49">
        <f t="shared" si="1"/>
        <v>73</v>
      </c>
      <c r="T29" s="264">
        <v>67.3</v>
      </c>
      <c r="U29" s="188" t="s">
        <v>73</v>
      </c>
      <c r="V29" s="44"/>
      <c r="X29" s="62"/>
      <c r="Y29" s="62"/>
      <c r="Z29" s="263"/>
      <c r="AA29" s="263"/>
      <c r="AD29" s="209" t="str">
        <f>+E16</f>
        <v>-</v>
      </c>
      <c r="AE29" s="209" t="str">
        <f>+G16</f>
        <v>-</v>
      </c>
      <c r="AF29" s="209">
        <f>+I16</f>
        <v>5.5</v>
      </c>
      <c r="AG29" s="209">
        <f>+K16</f>
        <v>11</v>
      </c>
      <c r="AH29" s="209">
        <f>+M16</f>
        <v>7.5</v>
      </c>
      <c r="AI29" s="209">
        <f>+O16</f>
        <v>15</v>
      </c>
      <c r="AJ29" s="209">
        <f>+Q16</f>
        <v>16.1</v>
      </c>
      <c r="AK29" s="207">
        <f t="shared" si="2"/>
        <v>55.1</v>
      </c>
    </row>
    <row r="30" spans="2:37" s="45" customFormat="1" ht="12" customHeight="1" thickBot="1">
      <c r="B30" s="271"/>
      <c r="C30" s="273"/>
      <c r="D30" s="273"/>
      <c r="E30" s="93" t="s">
        <v>11</v>
      </c>
      <c r="F30" s="92"/>
      <c r="G30" s="54" t="s">
        <v>70</v>
      </c>
      <c r="H30" s="92"/>
      <c r="I30" s="54">
        <v>14</v>
      </c>
      <c r="J30" s="92" t="s">
        <v>12</v>
      </c>
      <c r="K30" s="54">
        <v>12.6</v>
      </c>
      <c r="L30" s="92"/>
      <c r="M30" s="161">
        <v>26</v>
      </c>
      <c r="N30" s="162" t="s">
        <v>15</v>
      </c>
      <c r="O30" s="93" t="s">
        <v>11</v>
      </c>
      <c r="P30" s="92"/>
      <c r="Q30" s="54">
        <v>22.6</v>
      </c>
      <c r="R30" s="55" t="s">
        <v>15</v>
      </c>
      <c r="S30" s="56">
        <f t="shared" si="1"/>
        <v>75.2</v>
      </c>
      <c r="T30" s="265"/>
      <c r="U30" s="185"/>
      <c r="V30" s="44"/>
      <c r="X30" s="62"/>
      <c r="Y30" s="47"/>
      <c r="Z30" s="263"/>
      <c r="AA30" s="263"/>
      <c r="AD30" s="209" t="str">
        <f>+E18</f>
        <v>-</v>
      </c>
      <c r="AE30" s="209">
        <f>+G18</f>
        <v>16</v>
      </c>
      <c r="AF30" s="209">
        <f>+I18</f>
        <v>14.1</v>
      </c>
      <c r="AG30" s="209">
        <f>+K18</f>
        <v>20</v>
      </c>
      <c r="AH30" s="209">
        <f>+M18</f>
        <v>0</v>
      </c>
      <c r="AI30" s="209">
        <f>+O18</f>
        <v>0</v>
      </c>
      <c r="AJ30" s="209">
        <f>+Q18</f>
        <v>29</v>
      </c>
      <c r="AK30" s="207">
        <f t="shared" si="2"/>
        <v>79.1</v>
      </c>
    </row>
    <row r="31" spans="2:37" s="45" customFormat="1" ht="12" customHeight="1">
      <c r="B31" s="270">
        <v>1</v>
      </c>
      <c r="C31" s="268">
        <f>+C29+7</f>
        <v>38089</v>
      </c>
      <c r="D31" s="268">
        <f>+D29+7</f>
        <v>38095</v>
      </c>
      <c r="E31" s="48" t="s">
        <v>11</v>
      </c>
      <c r="F31" s="144"/>
      <c r="G31" s="143">
        <v>10</v>
      </c>
      <c r="H31" s="144" t="s">
        <v>15</v>
      </c>
      <c r="I31" s="143" t="s">
        <v>11</v>
      </c>
      <c r="J31" s="144"/>
      <c r="K31" s="48" t="s">
        <v>68</v>
      </c>
      <c r="L31" s="144"/>
      <c r="M31" s="48">
        <v>5</v>
      </c>
      <c r="N31" s="144" t="s">
        <v>12</v>
      </c>
      <c r="O31" s="143">
        <v>5</v>
      </c>
      <c r="P31" s="144" t="s">
        <v>12</v>
      </c>
      <c r="Q31" s="48">
        <v>42.2</v>
      </c>
      <c r="R31" s="156" t="s">
        <v>0</v>
      </c>
      <c r="S31" s="49">
        <f t="shared" si="1"/>
        <v>62.2</v>
      </c>
      <c r="T31" s="238"/>
      <c r="U31" s="184" t="s">
        <v>67</v>
      </c>
      <c r="V31" s="44"/>
      <c r="X31" s="62"/>
      <c r="Y31" s="62"/>
      <c r="Z31" s="263"/>
      <c r="AA31" s="263"/>
      <c r="AD31" s="209" t="str">
        <f>+E20</f>
        <v>-</v>
      </c>
      <c r="AE31" s="209">
        <f>+G20</f>
        <v>16</v>
      </c>
      <c r="AF31" s="209" t="str">
        <f>+I20</f>
        <v>-</v>
      </c>
      <c r="AG31" s="209">
        <f>+K20</f>
        <v>14</v>
      </c>
      <c r="AH31" s="209">
        <f>+M20</f>
        <v>14.5</v>
      </c>
      <c r="AI31" s="209" t="str">
        <f>+O20</f>
        <v>-</v>
      </c>
      <c r="AJ31" s="209">
        <f>+Q20</f>
        <v>28</v>
      </c>
      <c r="AK31" s="207">
        <f t="shared" si="2"/>
        <v>72.5</v>
      </c>
    </row>
    <row r="32" spans="2:37" s="45" customFormat="1" ht="12" customHeight="1" thickBot="1">
      <c r="B32" s="272"/>
      <c r="C32" s="269"/>
      <c r="D32" s="269"/>
      <c r="E32" s="161" t="s">
        <v>11</v>
      </c>
      <c r="F32" s="162"/>
      <c r="G32" s="161">
        <v>10.8</v>
      </c>
      <c r="H32" s="162" t="s">
        <v>16</v>
      </c>
      <c r="I32" s="161" t="s">
        <v>11</v>
      </c>
      <c r="J32" s="162"/>
      <c r="K32" s="161" t="s">
        <v>11</v>
      </c>
      <c r="L32" s="162"/>
      <c r="M32" s="161">
        <v>8.5</v>
      </c>
      <c r="N32" s="162" t="s">
        <v>12</v>
      </c>
      <c r="O32" s="165">
        <v>8.5</v>
      </c>
      <c r="P32" s="162" t="s">
        <v>12</v>
      </c>
      <c r="Q32" s="165">
        <v>42.2</v>
      </c>
      <c r="R32" s="235" t="s">
        <v>0</v>
      </c>
      <c r="S32" s="166">
        <f t="shared" si="1"/>
        <v>70</v>
      </c>
      <c r="T32" s="239"/>
      <c r="U32" s="185"/>
      <c r="V32" s="44"/>
      <c r="X32" s="62"/>
      <c r="Y32" s="47"/>
      <c r="Z32" s="263"/>
      <c r="AA32" s="263"/>
      <c r="AD32" s="209" t="str">
        <f>+E22</f>
        <v>-</v>
      </c>
      <c r="AE32" s="209">
        <f>+G22</f>
        <v>14</v>
      </c>
      <c r="AF32" s="209">
        <f>+I22</f>
        <v>11</v>
      </c>
      <c r="AG32" s="209">
        <f>+K22</f>
        <v>13</v>
      </c>
      <c r="AH32" s="209" t="str">
        <f>+M22</f>
        <v>-</v>
      </c>
      <c r="AI32" s="209">
        <f>+O22</f>
        <v>7.7</v>
      </c>
      <c r="AJ32" s="209">
        <f>+Q22</f>
        <v>24.5</v>
      </c>
      <c r="AK32" s="207">
        <f t="shared" si="2"/>
        <v>70.2</v>
      </c>
    </row>
    <row r="33" spans="17:37" ht="12.75">
      <c r="Q33" s="33"/>
      <c r="S33" s="178">
        <f>+AA21</f>
        <v>881.8</v>
      </c>
      <c r="U33" s="183" t="s">
        <v>79</v>
      </c>
      <c r="AD33" s="209" t="str">
        <f>+E24</f>
        <v>-</v>
      </c>
      <c r="AE33" s="209">
        <f>+G24</f>
        <v>15.5</v>
      </c>
      <c r="AF33" s="209" t="str">
        <f>+I24</f>
        <v>-</v>
      </c>
      <c r="AG33" s="209">
        <f>+K24</f>
        <v>20.5</v>
      </c>
      <c r="AH33" s="209" t="str">
        <f>+M24</f>
        <v>-</v>
      </c>
      <c r="AI33" s="209" t="str">
        <f>+O24</f>
        <v>-</v>
      </c>
      <c r="AJ33" s="209">
        <f>+Q24</f>
        <v>33.3</v>
      </c>
      <c r="AK33" s="207">
        <f t="shared" si="2"/>
        <v>69.3</v>
      </c>
    </row>
    <row r="34" spans="8:37" ht="15" customHeight="1">
      <c r="H34" s="32"/>
      <c r="I34" s="31"/>
      <c r="J34" s="32"/>
      <c r="Q34" s="33"/>
      <c r="S34" s="97">
        <f>+S33/12</f>
        <v>73.48333333333333</v>
      </c>
      <c r="U34" s="183" t="s">
        <v>14</v>
      </c>
      <c r="AD34" s="209" t="str">
        <f>+E26</f>
        <v>-</v>
      </c>
      <c r="AE34" s="209" t="str">
        <f>+G26</f>
        <v>gym</v>
      </c>
      <c r="AF34" s="209">
        <f>+I26</f>
        <v>7</v>
      </c>
      <c r="AG34" s="209">
        <f>+K26</f>
        <v>10</v>
      </c>
      <c r="AH34" s="209">
        <f>+M26</f>
        <v>19.5</v>
      </c>
      <c r="AI34" s="209">
        <f>+O26</f>
        <v>14</v>
      </c>
      <c r="AJ34" s="209">
        <f>+Q26</f>
        <v>27</v>
      </c>
      <c r="AK34" s="207">
        <f t="shared" si="2"/>
        <v>77.5</v>
      </c>
    </row>
    <row r="35" spans="17:37" ht="15" customHeight="1">
      <c r="Q35" s="33"/>
      <c r="S35" s="179">
        <f>+AB21</f>
        <v>-53.09999999999998</v>
      </c>
      <c r="U35" s="31" t="s">
        <v>35</v>
      </c>
      <c r="AD35" s="209" t="str">
        <f>+E28</f>
        <v>gym</v>
      </c>
      <c r="AE35" s="209">
        <f>+G28</f>
        <v>16</v>
      </c>
      <c r="AF35" s="209" t="str">
        <f>+I28</f>
        <v>-</v>
      </c>
      <c r="AG35" s="209">
        <f>+K28</f>
        <v>20</v>
      </c>
      <c r="AH35" s="209" t="str">
        <f>+M28</f>
        <v>-</v>
      </c>
      <c r="AI35" s="209">
        <f>+O28</f>
        <v>31.5</v>
      </c>
      <c r="AJ35" s="209">
        <f>+Q28</f>
        <v>15.5</v>
      </c>
      <c r="AK35" s="207">
        <f t="shared" si="2"/>
        <v>83</v>
      </c>
    </row>
    <row r="36" spans="17:37" ht="15" customHeight="1">
      <c r="Q36" s="33"/>
      <c r="S36" s="145">
        <f>+S34+(S35/12)</f>
        <v>69.05833333333334</v>
      </c>
      <c r="U36" s="31" t="s">
        <v>48</v>
      </c>
      <c r="AD36" s="209" t="str">
        <f>+E30</f>
        <v>-</v>
      </c>
      <c r="AE36" s="209" t="str">
        <f>+G30</f>
        <v>gym</v>
      </c>
      <c r="AF36" s="209">
        <f>+I30</f>
        <v>14</v>
      </c>
      <c r="AG36" s="209">
        <f>+K30</f>
        <v>12.6</v>
      </c>
      <c r="AH36" s="209">
        <f>+M30</f>
        <v>26</v>
      </c>
      <c r="AI36" s="209" t="str">
        <f>+O30</f>
        <v>-</v>
      </c>
      <c r="AJ36" s="209">
        <f>+Q30</f>
        <v>22.6</v>
      </c>
      <c r="AK36" s="207">
        <f t="shared" si="2"/>
        <v>75.2</v>
      </c>
    </row>
    <row r="37" spans="17:37" ht="12.75">
      <c r="Q37" s="70"/>
      <c r="AD37" s="209" t="str">
        <f>+E32</f>
        <v>-</v>
      </c>
      <c r="AE37" s="209">
        <f>+G32</f>
        <v>10.8</v>
      </c>
      <c r="AF37" s="209" t="str">
        <f>+I32</f>
        <v>-</v>
      </c>
      <c r="AG37" s="209" t="str">
        <f>+K32</f>
        <v>-</v>
      </c>
      <c r="AH37" s="209">
        <f>+M32</f>
        <v>8.5</v>
      </c>
      <c r="AI37" s="209">
        <f>+O32</f>
        <v>8.5</v>
      </c>
      <c r="AJ37" s="209">
        <f>+Q32</f>
        <v>42.2</v>
      </c>
      <c r="AK37" s="207">
        <f>SUM(AD37:AJ37)</f>
        <v>70</v>
      </c>
    </row>
    <row r="38" spans="15:37" ht="12.75" customHeight="1">
      <c r="O38" s="76"/>
      <c r="Q38" s="77"/>
      <c r="AD38" s="45">
        <f>DCOUNT(dbmoist,"mo",AM8:AM9)</f>
        <v>0</v>
      </c>
      <c r="AE38" s="45">
        <f>DCOUNT(dbdiist,"di",AN8:AN9)</f>
        <v>0</v>
      </c>
      <c r="AF38" s="45">
        <f>DCOUNT(dbmiist,"mi",AO8:AO9)</f>
        <v>0</v>
      </c>
      <c r="AG38" s="45">
        <f>DCOUNT(dbdoist,"do",AP8:AP9)</f>
        <v>4</v>
      </c>
      <c r="AH38" s="45">
        <f>DCOUNT(dbfrist,"fr",AQ8:AQ9)</f>
        <v>1</v>
      </c>
      <c r="AI38" s="45">
        <f>DCOUNT(dbsaist,"sa",AR8:AR9)</f>
        <v>2</v>
      </c>
      <c r="AJ38" s="45">
        <f>DCOUNT(dbsoist,"so",AS8:AS9)</f>
        <v>7</v>
      </c>
      <c r="AK38" s="45">
        <f>SUM(AD38:AJ38)-AK39-AK40</f>
        <v>6</v>
      </c>
    </row>
    <row r="39" spans="19:37" ht="12.75" customHeight="1">
      <c r="S39" s="212" t="s">
        <v>106</v>
      </c>
      <c r="AD39" s="45">
        <f>DCOUNT(dbmoist,"mo",AM10:AM11)</f>
        <v>0</v>
      </c>
      <c r="AE39" s="45">
        <f>DCOUNT(dbdiist,"di",AN10:AN11)</f>
        <v>0</v>
      </c>
      <c r="AF39" s="45">
        <f>DCOUNT(dbmiist,"mi",AO10:AO11)</f>
        <v>0</v>
      </c>
      <c r="AG39" s="45">
        <f>DCOUNT(dbdoist,"do",AP10:AP11)</f>
        <v>0</v>
      </c>
      <c r="AH39" s="45">
        <f>DCOUNT(dbfrist,"fr",AQ10:AQ11)</f>
        <v>1</v>
      </c>
      <c r="AI39" s="45">
        <f>DCOUNT(dbsaist,"sa",AR10:AR11)</f>
        <v>2</v>
      </c>
      <c r="AJ39" s="45">
        <f>DCOUNT(dbsoist,"so",AS10:AS11)</f>
        <v>5</v>
      </c>
      <c r="AK39" s="45">
        <f>SUM(AD39:AJ39)-AK40</f>
        <v>5</v>
      </c>
    </row>
    <row r="40" spans="17:37" ht="12.75" customHeight="1">
      <c r="Q40" s="80"/>
      <c r="S40" s="32" t="s">
        <v>104</v>
      </c>
      <c r="AD40" s="45">
        <f>DCOUNT(dbmoist,"mo",AM12:AM13)</f>
        <v>0</v>
      </c>
      <c r="AE40" s="45">
        <f>DCOUNT(dbdiist,"di",AN12:AN13)</f>
        <v>0</v>
      </c>
      <c r="AF40" s="45">
        <f>DCOUNT(dbmiist,"mi",AO12:AO13)</f>
        <v>0</v>
      </c>
      <c r="AG40" s="45">
        <f>DCOUNT(dbdoist,"do",AP12:AP13)</f>
        <v>0</v>
      </c>
      <c r="AH40" s="45">
        <f>DCOUNT(dbfrist,"fr",AQ12:AQ13)</f>
        <v>0</v>
      </c>
      <c r="AI40" s="45">
        <f>DCOUNT(dbsaist,"sa",AR12:AR13)</f>
        <v>1</v>
      </c>
      <c r="AJ40" s="45">
        <f>DCOUNT(dbsoist,"so",AS12:AS13)</f>
        <v>2</v>
      </c>
      <c r="AK40" s="45">
        <f>SUM(AD40:AJ40)</f>
        <v>3</v>
      </c>
    </row>
    <row r="41" spans="17:20" ht="12.75" customHeight="1">
      <c r="Q41" s="81"/>
      <c r="T41" s="32" t="s">
        <v>105</v>
      </c>
    </row>
    <row r="42" spans="19:21" ht="12.75" customHeight="1">
      <c r="S42" s="210">
        <f>+AK21</f>
        <v>11</v>
      </c>
      <c r="T42" s="211">
        <f>+AK38</f>
        <v>6</v>
      </c>
      <c r="U42" s="32" t="s">
        <v>101</v>
      </c>
    </row>
    <row r="43" spans="19:21" ht="12.75" customHeight="1">
      <c r="S43" s="210">
        <f>+AK22</f>
        <v>5</v>
      </c>
      <c r="T43" s="211">
        <f>+AK39</f>
        <v>5</v>
      </c>
      <c r="U43" s="32" t="s">
        <v>102</v>
      </c>
    </row>
    <row r="44" spans="19:21" ht="12.75" customHeight="1" thickBot="1">
      <c r="S44" s="224">
        <f>+AK23</f>
        <v>5</v>
      </c>
      <c r="T44" s="225">
        <f>+AK40</f>
        <v>3</v>
      </c>
      <c r="U44" s="32" t="s">
        <v>103</v>
      </c>
    </row>
    <row r="45" spans="19:21" ht="12.75" customHeight="1">
      <c r="S45" s="222">
        <f>SUM(S42:S44)</f>
        <v>21</v>
      </c>
      <c r="T45" s="223">
        <f>SUM(T42:T44)</f>
        <v>14</v>
      </c>
      <c r="U45" s="65"/>
    </row>
    <row r="46" ht="12.75" customHeight="1"/>
    <row r="47" ht="12.75">
      <c r="V47" s="87"/>
    </row>
    <row r="48" ht="12.75">
      <c r="V48" s="87"/>
    </row>
    <row r="49" spans="2:22" ht="12.75" customHeight="1">
      <c r="B49" s="88"/>
      <c r="F49" s="32"/>
      <c r="H49" s="32"/>
      <c r="J49" s="32"/>
      <c r="L49" s="32"/>
      <c r="N49" s="65"/>
      <c r="O49" s="65"/>
      <c r="P49" s="72"/>
      <c r="Q49" s="72"/>
      <c r="R49" s="65"/>
      <c r="V49" s="65"/>
    </row>
    <row r="50" spans="2:22" ht="12.75" customHeight="1">
      <c r="B50" s="88"/>
      <c r="F50" s="32"/>
      <c r="H50" s="32"/>
      <c r="J50" s="32"/>
      <c r="L50" s="32"/>
      <c r="N50" s="65"/>
      <c r="O50" s="65"/>
      <c r="P50" s="72"/>
      <c r="Q50" s="72"/>
      <c r="R50" s="65"/>
      <c r="V50" s="65"/>
    </row>
    <row r="51" spans="2:22" ht="12.75" customHeight="1">
      <c r="B51" s="88"/>
      <c r="F51" s="32"/>
      <c r="H51" s="32"/>
      <c r="J51" s="32"/>
      <c r="L51" s="32"/>
      <c r="N51" s="65"/>
      <c r="O51" s="65"/>
      <c r="P51" s="72"/>
      <c r="Q51" s="72"/>
      <c r="R51" s="65"/>
      <c r="V51" s="65"/>
    </row>
    <row r="52" spans="2:22" ht="12.75" customHeight="1">
      <c r="B52" s="88"/>
      <c r="F52" s="32"/>
      <c r="H52" s="32"/>
      <c r="J52" s="32"/>
      <c r="L52" s="32"/>
      <c r="N52" s="65"/>
      <c r="O52" s="65"/>
      <c r="P52" s="72"/>
      <c r="Q52" s="72"/>
      <c r="R52" s="65"/>
      <c r="V52" s="65"/>
    </row>
    <row r="53" spans="2:22" ht="12.75" customHeight="1">
      <c r="B53" s="88"/>
      <c r="F53" s="32"/>
      <c r="H53" s="32"/>
      <c r="J53" s="32"/>
      <c r="L53" s="32"/>
      <c r="N53" s="65"/>
      <c r="O53" s="65"/>
      <c r="P53" s="72"/>
      <c r="Q53" s="72"/>
      <c r="R53" s="65"/>
      <c r="V53" s="65"/>
    </row>
    <row r="54" spans="2:22" ht="12.75" customHeight="1">
      <c r="B54" s="88"/>
      <c r="F54" s="32"/>
      <c r="H54" s="32"/>
      <c r="J54" s="32"/>
      <c r="L54" s="32"/>
      <c r="N54" s="65"/>
      <c r="O54" s="65"/>
      <c r="P54" s="72"/>
      <c r="Q54" s="72"/>
      <c r="R54" s="65"/>
      <c r="S54" s="65"/>
      <c r="U54" s="65"/>
      <c r="V54" s="65"/>
    </row>
    <row r="55" spans="2:19" ht="15" customHeight="1">
      <c r="B55" s="74"/>
      <c r="C55" s="66" t="s">
        <v>76</v>
      </c>
      <c r="D55" s="68"/>
      <c r="E55" s="68"/>
      <c r="F55" s="68"/>
      <c r="G55" s="69"/>
      <c r="H55" s="32"/>
      <c r="I55" s="66" t="s">
        <v>19</v>
      </c>
      <c r="J55" s="67"/>
      <c r="K55" s="1">
        <v>160</v>
      </c>
      <c r="L55" s="68"/>
      <c r="M55" s="67"/>
      <c r="N55" s="67"/>
      <c r="O55" s="68"/>
      <c r="P55" s="259"/>
      <c r="Q55" s="260"/>
      <c r="R55" s="65"/>
      <c r="S55" s="65"/>
    </row>
    <row r="56" spans="2:19" ht="15" customHeight="1">
      <c r="B56" s="74"/>
      <c r="C56" s="71" t="s">
        <v>46</v>
      </c>
      <c r="D56" s="74"/>
      <c r="E56" s="257">
        <v>12.7</v>
      </c>
      <c r="F56" s="257"/>
      <c r="G56" s="258"/>
      <c r="H56" s="32"/>
      <c r="I56" s="71"/>
      <c r="J56" s="32"/>
      <c r="K56" s="73" t="s">
        <v>9</v>
      </c>
      <c r="L56" s="74"/>
      <c r="M56" s="75" t="s">
        <v>10</v>
      </c>
      <c r="N56" s="261" t="s">
        <v>9</v>
      </c>
      <c r="O56" s="262"/>
      <c r="P56" s="236" t="s">
        <v>10</v>
      </c>
      <c r="Q56" s="237"/>
      <c r="R56" s="65"/>
      <c r="S56" s="65"/>
    </row>
    <row r="57" spans="2:19" ht="15" customHeight="1">
      <c r="B57" s="74"/>
      <c r="C57" s="89" t="s">
        <v>36</v>
      </c>
      <c r="D57" s="74"/>
      <c r="E57" s="255">
        <f>60/E56/24/60</f>
        <v>0.0032808398950131237</v>
      </c>
      <c r="F57" s="255"/>
      <c r="G57" s="256"/>
      <c r="H57" s="32"/>
      <c r="I57" s="71" t="s">
        <v>18</v>
      </c>
      <c r="J57" s="32"/>
      <c r="K57" s="78"/>
      <c r="L57" s="74"/>
      <c r="M57" s="79">
        <f aca="true" t="shared" si="3" ref="M57:M64">+P57*$K$55</f>
        <v>112</v>
      </c>
      <c r="N57" s="243"/>
      <c r="O57" s="244"/>
      <c r="P57" s="245">
        <v>0.7</v>
      </c>
      <c r="Q57" s="245"/>
      <c r="R57" s="65"/>
      <c r="S57" s="65"/>
    </row>
    <row r="58" spans="2:19" ht="15" customHeight="1">
      <c r="B58" s="74"/>
      <c r="C58" s="89" t="s">
        <v>38</v>
      </c>
      <c r="D58" s="74"/>
      <c r="E58" s="255">
        <f>+E57*1.609</f>
        <v>0.005278871391076116</v>
      </c>
      <c r="F58" s="255"/>
      <c r="G58" s="256"/>
      <c r="H58" s="32"/>
      <c r="I58" s="71" t="s">
        <v>20</v>
      </c>
      <c r="J58" s="32"/>
      <c r="K58" s="78">
        <f aca="true" t="shared" si="4" ref="K58:K64">+N58*$K$55</f>
        <v>112</v>
      </c>
      <c r="L58" s="74"/>
      <c r="M58" s="79">
        <f t="shared" si="3"/>
        <v>116</v>
      </c>
      <c r="N58" s="243">
        <f>+P57</f>
        <v>0.7</v>
      </c>
      <c r="O58" s="244"/>
      <c r="P58" s="245">
        <v>0.725</v>
      </c>
      <c r="Q58" s="245"/>
      <c r="R58" s="65"/>
      <c r="S58" s="65"/>
    </row>
    <row r="59" spans="2:18" ht="15" customHeight="1">
      <c r="B59" s="74"/>
      <c r="C59" s="95" t="s">
        <v>37</v>
      </c>
      <c r="D59" s="94"/>
      <c r="E59" s="250">
        <v>0.1875</v>
      </c>
      <c r="F59" s="250"/>
      <c r="G59" s="251"/>
      <c r="H59" s="32"/>
      <c r="I59" s="71" t="s">
        <v>40</v>
      </c>
      <c r="J59" s="32"/>
      <c r="K59" s="78">
        <f t="shared" si="4"/>
        <v>116</v>
      </c>
      <c r="L59" s="74"/>
      <c r="M59" s="79">
        <f t="shared" si="3"/>
        <v>120</v>
      </c>
      <c r="N59" s="243">
        <f aca="true" t="shared" si="5" ref="N59:N64">+P58</f>
        <v>0.725</v>
      </c>
      <c r="O59" s="244"/>
      <c r="P59" s="245">
        <v>0.75</v>
      </c>
      <c r="Q59" s="245"/>
      <c r="R59" s="32"/>
    </row>
    <row r="60" spans="2:18" ht="15" customHeight="1">
      <c r="B60" s="74"/>
      <c r="C60" s="89" t="s">
        <v>38</v>
      </c>
      <c r="D60" s="74"/>
      <c r="E60" s="246">
        <f>+E59*1.609</f>
        <v>0.3016875</v>
      </c>
      <c r="F60" s="246"/>
      <c r="G60" s="247"/>
      <c r="H60" s="32"/>
      <c r="I60" s="71" t="s">
        <v>41</v>
      </c>
      <c r="J60" s="32"/>
      <c r="K60" s="78">
        <f t="shared" si="4"/>
        <v>120</v>
      </c>
      <c r="L60" s="74"/>
      <c r="M60" s="79">
        <f t="shared" si="3"/>
        <v>128</v>
      </c>
      <c r="N60" s="243">
        <f t="shared" si="5"/>
        <v>0.75</v>
      </c>
      <c r="O60" s="244"/>
      <c r="P60" s="245">
        <v>0.8</v>
      </c>
      <c r="Q60" s="245"/>
      <c r="R60" s="32"/>
    </row>
    <row r="61" spans="2:18" ht="15" customHeight="1">
      <c r="B61" s="74"/>
      <c r="C61" s="89" t="s">
        <v>47</v>
      </c>
      <c r="D61" s="74"/>
      <c r="E61" s="252">
        <f>60/E59/24</f>
        <v>13.333333333333334</v>
      </c>
      <c r="F61" s="252"/>
      <c r="G61" s="253"/>
      <c r="H61" s="32"/>
      <c r="I61" s="71" t="s">
        <v>42</v>
      </c>
      <c r="J61" s="32"/>
      <c r="K61" s="78">
        <f t="shared" si="4"/>
        <v>128</v>
      </c>
      <c r="L61" s="74"/>
      <c r="M61" s="79">
        <f t="shared" si="3"/>
        <v>136</v>
      </c>
      <c r="N61" s="243">
        <f t="shared" si="5"/>
        <v>0.8</v>
      </c>
      <c r="O61" s="244"/>
      <c r="P61" s="245">
        <v>0.85</v>
      </c>
      <c r="Q61" s="245"/>
      <c r="R61" s="32"/>
    </row>
    <row r="62" spans="3:17" ht="15" customHeight="1">
      <c r="C62" s="89" t="s">
        <v>43</v>
      </c>
      <c r="D62" s="65"/>
      <c r="E62" s="246">
        <f>+E59*0.4</f>
        <v>0.07500000000000001</v>
      </c>
      <c r="F62" s="246">
        <f>+E59*0.4</f>
        <v>0.07500000000000001</v>
      </c>
      <c r="G62" s="247"/>
      <c r="I62" s="71" t="s">
        <v>21</v>
      </c>
      <c r="J62" s="32"/>
      <c r="K62" s="78">
        <f t="shared" si="4"/>
        <v>136</v>
      </c>
      <c r="L62" s="74"/>
      <c r="M62" s="79">
        <f t="shared" si="3"/>
        <v>144</v>
      </c>
      <c r="N62" s="243">
        <f t="shared" si="5"/>
        <v>0.85</v>
      </c>
      <c r="O62" s="244"/>
      <c r="P62" s="245">
        <v>0.9</v>
      </c>
      <c r="Q62" s="245"/>
    </row>
    <row r="63" spans="3:17" ht="15" customHeight="1">
      <c r="C63" s="89" t="s">
        <v>45</v>
      </c>
      <c r="D63" s="65"/>
      <c r="E63" s="246">
        <f>+E59*0.6</f>
        <v>0.11249999999999999</v>
      </c>
      <c r="F63" s="246"/>
      <c r="G63" s="247"/>
      <c r="I63" s="71" t="s">
        <v>22</v>
      </c>
      <c r="J63" s="32"/>
      <c r="K63" s="78">
        <f t="shared" si="4"/>
        <v>144</v>
      </c>
      <c r="L63" s="74"/>
      <c r="M63" s="79">
        <f t="shared" si="3"/>
        <v>152</v>
      </c>
      <c r="N63" s="243">
        <f t="shared" si="5"/>
        <v>0.9</v>
      </c>
      <c r="O63" s="244"/>
      <c r="P63" s="245">
        <v>0.95</v>
      </c>
      <c r="Q63" s="245"/>
    </row>
    <row r="64" spans="3:17" ht="15" customHeight="1">
      <c r="C64" s="90" t="s">
        <v>44</v>
      </c>
      <c r="D64" s="96"/>
      <c r="E64" s="248">
        <f>+E59*0.8</f>
        <v>0.15000000000000002</v>
      </c>
      <c r="F64" s="248"/>
      <c r="G64" s="249"/>
      <c r="I64" s="82" t="s">
        <v>23</v>
      </c>
      <c r="J64" s="83"/>
      <c r="K64" s="84">
        <f t="shared" si="4"/>
        <v>152</v>
      </c>
      <c r="L64" s="85"/>
      <c r="M64" s="86">
        <f t="shared" si="3"/>
        <v>156</v>
      </c>
      <c r="N64" s="241">
        <f t="shared" si="5"/>
        <v>0.95</v>
      </c>
      <c r="O64" s="242"/>
      <c r="P64" s="254">
        <v>0.975</v>
      </c>
      <c r="Q64" s="254"/>
    </row>
    <row r="65" spans="9:16" ht="15" customHeight="1">
      <c r="I65" s="33"/>
      <c r="J65" s="32"/>
      <c r="L65" s="65"/>
      <c r="M65" s="65"/>
      <c r="N65" s="32"/>
      <c r="P65" s="32"/>
    </row>
  </sheetData>
  <mergeCells count="94">
    <mergeCell ref="T7:T8"/>
    <mergeCell ref="M18:N18"/>
    <mergeCell ref="D31:D32"/>
    <mergeCell ref="D19:D20"/>
    <mergeCell ref="D27:D28"/>
    <mergeCell ref="D13:D14"/>
    <mergeCell ref="D15:D16"/>
    <mergeCell ref="D17:D18"/>
    <mergeCell ref="D29:D30"/>
    <mergeCell ref="D9:D10"/>
    <mergeCell ref="B9:B10"/>
    <mergeCell ref="B13:B14"/>
    <mergeCell ref="B15:B16"/>
    <mergeCell ref="B17:B18"/>
    <mergeCell ref="B11:B12"/>
    <mergeCell ref="D21:D22"/>
    <mergeCell ref="C9:C10"/>
    <mergeCell ref="C13:C14"/>
    <mergeCell ref="C15:C16"/>
    <mergeCell ref="C17:C18"/>
    <mergeCell ref="D11:D12"/>
    <mergeCell ref="C11:C12"/>
    <mergeCell ref="D2:E2"/>
    <mergeCell ref="B6:D6"/>
    <mergeCell ref="B7:B8"/>
    <mergeCell ref="C7:C8"/>
    <mergeCell ref="D7:D8"/>
    <mergeCell ref="B19:B20"/>
    <mergeCell ref="B21:B22"/>
    <mergeCell ref="C19:C20"/>
    <mergeCell ref="B23:B24"/>
    <mergeCell ref="C21:C22"/>
    <mergeCell ref="C23:C24"/>
    <mergeCell ref="B25:B26"/>
    <mergeCell ref="C25:C26"/>
    <mergeCell ref="D23:D24"/>
    <mergeCell ref="D25:D26"/>
    <mergeCell ref="C31:C32"/>
    <mergeCell ref="B27:B28"/>
    <mergeCell ref="B29:B30"/>
    <mergeCell ref="B31:B32"/>
    <mergeCell ref="C29:C30"/>
    <mergeCell ref="C27:C28"/>
    <mergeCell ref="T27:T28"/>
    <mergeCell ref="M28:N28"/>
    <mergeCell ref="T29:T30"/>
    <mergeCell ref="T21:T22"/>
    <mergeCell ref="T23:T24"/>
    <mergeCell ref="T25:T26"/>
    <mergeCell ref="T9:T10"/>
    <mergeCell ref="T11:T12"/>
    <mergeCell ref="T17:T18"/>
    <mergeCell ref="T19:T20"/>
    <mergeCell ref="T13:T14"/>
    <mergeCell ref="T15:T16"/>
    <mergeCell ref="Z31:Z32"/>
    <mergeCell ref="AA31:AA32"/>
    <mergeCell ref="Z23:Z24"/>
    <mergeCell ref="Z25:Z26"/>
    <mergeCell ref="AA23:AA24"/>
    <mergeCell ref="AA25:AA26"/>
    <mergeCell ref="AA27:AA28"/>
    <mergeCell ref="AA29:AA30"/>
    <mergeCell ref="Z27:Z28"/>
    <mergeCell ref="Z29:Z30"/>
    <mergeCell ref="P55:Q55"/>
    <mergeCell ref="P56:Q56"/>
    <mergeCell ref="T31:T32"/>
    <mergeCell ref="N56:O56"/>
    <mergeCell ref="E56:G56"/>
    <mergeCell ref="P62:Q62"/>
    <mergeCell ref="P60:Q60"/>
    <mergeCell ref="P61:Q61"/>
    <mergeCell ref="E62:G62"/>
    <mergeCell ref="P58:Q58"/>
    <mergeCell ref="P59:Q59"/>
    <mergeCell ref="N57:O57"/>
    <mergeCell ref="N58:O58"/>
    <mergeCell ref="E57:G57"/>
    <mergeCell ref="E58:G58"/>
    <mergeCell ref="N62:O62"/>
    <mergeCell ref="N60:O60"/>
    <mergeCell ref="N61:O61"/>
    <mergeCell ref="N59:O59"/>
    <mergeCell ref="N64:O64"/>
    <mergeCell ref="N63:O63"/>
    <mergeCell ref="P57:Q57"/>
    <mergeCell ref="E63:G63"/>
    <mergeCell ref="E64:G64"/>
    <mergeCell ref="E59:G59"/>
    <mergeCell ref="E60:G60"/>
    <mergeCell ref="E61:G61"/>
    <mergeCell ref="P63:Q63"/>
    <mergeCell ref="P64:Q64"/>
  </mergeCells>
  <hyperlinks>
    <hyperlink ref="U7" r:id="rId1" display="Hamm 10K"/>
    <hyperlink ref="U11" r:id="rId2" display="Apeldoorn 27K"/>
    <hyperlink ref="U31" r:id="rId3" display="The Big Day"/>
    <hyperlink ref="U22" r:id="rId4" display="duathlon cross relay"/>
    <hyperlink ref="U4" r:id="rId5" display="download this excel-file"/>
    <hyperlink ref="U23" r:id="rId6" display="Syltlauf 33,3K"/>
    <hyperlink ref="U28" r:id="rId7" display="Bochumer Uni-Run"/>
  </hyperlinks>
  <printOptions horizontalCentered="1" verticalCentered="1"/>
  <pageMargins left="0.12" right="0.55" top="0.42" bottom="0.31496062992125984" header="0.2" footer="0.1968503937007874"/>
  <pageSetup fitToHeight="1" fitToWidth="1" horizontalDpi="360" verticalDpi="360" orientation="landscape" paperSize="9" scale="92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6:J56"/>
  <sheetViews>
    <sheetView workbookViewId="0" topLeftCell="A1">
      <selection activeCell="A1" sqref="A1"/>
    </sheetView>
  </sheetViews>
  <sheetFormatPr defaultColWidth="11.5546875" defaultRowHeight="15"/>
  <cols>
    <col min="1" max="1" width="5.4453125" style="0" customWidth="1"/>
    <col min="2" max="2" width="6.21484375" style="0" customWidth="1"/>
    <col min="3" max="3" width="7.77734375" style="138" customWidth="1"/>
    <col min="4" max="4" width="7.99609375" style="139" customWidth="1"/>
    <col min="5" max="5" width="9.4453125" style="138" customWidth="1"/>
    <col min="6" max="6" width="8.77734375" style="138" bestFit="1" customWidth="1"/>
    <col min="7" max="7" width="5.4453125" style="0" bestFit="1" customWidth="1"/>
    <col min="10" max="10" width="12.10546875" style="0" customWidth="1"/>
    <col min="11" max="11" width="8.99609375" style="0" customWidth="1"/>
    <col min="12" max="12" width="4.88671875" style="0" customWidth="1"/>
  </cols>
  <sheetData>
    <row r="26" spans="1:10" ht="16.5" thickBot="1">
      <c r="A26" t="s">
        <v>110</v>
      </c>
      <c r="B26" s="175" t="s">
        <v>60</v>
      </c>
      <c r="C26" s="139" t="s">
        <v>60</v>
      </c>
      <c r="D26" s="176" t="s">
        <v>61</v>
      </c>
      <c r="E26" s="138" t="s">
        <v>58</v>
      </c>
      <c r="F26" s="177" t="s">
        <v>62</v>
      </c>
      <c r="G26" s="190" t="s">
        <v>59</v>
      </c>
      <c r="H26" s="176" t="s">
        <v>111</v>
      </c>
      <c r="I26" s="135">
        <v>0.0046875</v>
      </c>
      <c r="J26" s="155">
        <f>+I26</f>
        <v>0.0046875</v>
      </c>
    </row>
    <row r="27" spans="1:10" ht="15.75">
      <c r="A27" s="134">
        <v>1</v>
      </c>
      <c r="B27" s="170">
        <v>0.0052662037037037035</v>
      </c>
      <c r="C27" s="139">
        <v>0.005439814814814815</v>
      </c>
      <c r="D27" s="172">
        <v>0.005543981481481482</v>
      </c>
      <c r="E27" s="141">
        <f>+D27</f>
        <v>0.005543981481481482</v>
      </c>
      <c r="F27" s="170">
        <f>+E27/A27</f>
        <v>0.005543981481481482</v>
      </c>
      <c r="G27" s="191">
        <v>118</v>
      </c>
      <c r="H27" s="172">
        <f>+D27/1.609</f>
        <v>0.0034456068871855077</v>
      </c>
      <c r="I27" s="135">
        <v>0.005902777777777778</v>
      </c>
      <c r="J27" s="155">
        <f>+I27</f>
        <v>0.005902777777777778</v>
      </c>
    </row>
    <row r="28" spans="1:10" ht="15.75">
      <c r="A28" s="134">
        <v>2</v>
      </c>
      <c r="B28" s="170">
        <v>0.0052662037037037035</v>
      </c>
      <c r="C28" s="139">
        <v>0.005439814814814815</v>
      </c>
      <c r="D28" s="172">
        <v>0.005729166666666667</v>
      </c>
      <c r="E28" s="141">
        <f>+E27+D28</f>
        <v>0.01127314814814815</v>
      </c>
      <c r="F28" s="170">
        <f>+E28/A28</f>
        <v>0.005636574074074075</v>
      </c>
      <c r="G28" s="191">
        <v>121</v>
      </c>
      <c r="H28" s="172">
        <f aca="true" t="shared" si="0" ref="H28:H52">+D28/1.609</f>
        <v>0.0035607002278848147</v>
      </c>
      <c r="I28" s="135">
        <v>0.003993055555555556</v>
      </c>
      <c r="J28" s="155">
        <f>+I28</f>
        <v>0.003993055555555556</v>
      </c>
    </row>
    <row r="29" spans="1:10" ht="15.75">
      <c r="A29" s="134">
        <v>3</v>
      </c>
      <c r="B29" s="170">
        <v>0.0052662037037037035</v>
      </c>
      <c r="C29" s="139">
        <v>0.005381944444444445</v>
      </c>
      <c r="D29" s="172">
        <v>0.005474537037037037</v>
      </c>
      <c r="E29" s="141">
        <f aca="true" t="shared" si="1" ref="E29:E51">+E28+D29</f>
        <v>0.01674768518518519</v>
      </c>
      <c r="F29" s="170">
        <f aca="true" t="shared" si="2" ref="F29:F52">+E29/A29</f>
        <v>0.005582561728395063</v>
      </c>
      <c r="G29" s="191">
        <v>126</v>
      </c>
      <c r="H29" s="172">
        <f t="shared" si="0"/>
        <v>0.0034024468844232676</v>
      </c>
      <c r="I29" s="135">
        <v>0.004166666666666667</v>
      </c>
      <c r="J29" s="155">
        <f>+I29</f>
        <v>0.004166666666666667</v>
      </c>
    </row>
    <row r="30" spans="1:10" ht="15.75">
      <c r="A30" s="134">
        <v>4</v>
      </c>
      <c r="B30" s="170">
        <v>0.0052662037037037035</v>
      </c>
      <c r="C30" s="139">
        <v>0.005324074074074075</v>
      </c>
      <c r="D30" s="172">
        <v>0.004861111111111111</v>
      </c>
      <c r="E30" s="141">
        <f t="shared" si="1"/>
        <v>0.0216087962962963</v>
      </c>
      <c r="F30" s="170">
        <f t="shared" si="2"/>
        <v>0.005402199074074075</v>
      </c>
      <c r="G30" s="191">
        <v>131</v>
      </c>
      <c r="H30" s="172">
        <f t="shared" si="0"/>
        <v>0.0030212001933568123</v>
      </c>
      <c r="I30" s="135">
        <v>0.00017361111111111112</v>
      </c>
      <c r="J30" s="155">
        <f>+I30</f>
        <v>0.00017361111111111112</v>
      </c>
    </row>
    <row r="31" spans="1:9" ht="15.75">
      <c r="A31" s="134">
        <v>5</v>
      </c>
      <c r="B31" s="171">
        <v>0.0052662037037037035</v>
      </c>
      <c r="C31" s="140">
        <v>0.005324074074074075</v>
      </c>
      <c r="D31" s="173">
        <v>0.0050347222222222225</v>
      </c>
      <c r="E31" s="142">
        <f t="shared" si="1"/>
        <v>0.02664351851851852</v>
      </c>
      <c r="F31" s="171">
        <f t="shared" si="2"/>
        <v>0.005328703703703704</v>
      </c>
      <c r="G31" s="192">
        <v>134</v>
      </c>
      <c r="H31" s="172">
        <f t="shared" si="0"/>
        <v>0.003129100200262413</v>
      </c>
      <c r="I31" t="s">
        <v>75</v>
      </c>
    </row>
    <row r="32" spans="1:8" ht="15.75">
      <c r="A32" s="134">
        <v>6</v>
      </c>
      <c r="B32" s="170">
        <v>0.0052662037037037035</v>
      </c>
      <c r="C32" s="139">
        <v>0.0052662037037037035</v>
      </c>
      <c r="D32" s="172">
        <v>0.005300925925925925</v>
      </c>
      <c r="E32" s="141">
        <f t="shared" si="1"/>
        <v>0.03194444444444445</v>
      </c>
      <c r="F32" s="170">
        <f t="shared" si="2"/>
        <v>0.005324074074074075</v>
      </c>
      <c r="G32" s="191">
        <v>135</v>
      </c>
      <c r="H32" s="172">
        <f t="shared" si="0"/>
        <v>0.0032945468775176664</v>
      </c>
    </row>
    <row r="33" spans="1:8" ht="15.75">
      <c r="A33" s="134">
        <v>7</v>
      </c>
      <c r="B33" s="170">
        <v>0.0052662037037037035</v>
      </c>
      <c r="C33" s="139">
        <v>0.0052662037037037035</v>
      </c>
      <c r="D33" s="172">
        <v>0.005300925925925925</v>
      </c>
      <c r="E33" s="141">
        <f t="shared" si="1"/>
        <v>0.03724537037037037</v>
      </c>
      <c r="F33" s="170">
        <f t="shared" si="2"/>
        <v>0.005320767195767196</v>
      </c>
      <c r="G33" s="191">
        <v>132</v>
      </c>
      <c r="H33" s="172">
        <f t="shared" si="0"/>
        <v>0.0032945468775176664</v>
      </c>
    </row>
    <row r="34" spans="1:8" ht="15.75">
      <c r="A34" s="134">
        <v>8</v>
      </c>
      <c r="B34" s="170">
        <v>0.0052662037037037035</v>
      </c>
      <c r="C34" s="139">
        <v>0.0052662037037037035</v>
      </c>
      <c r="D34" s="172">
        <v>0.0051967592592592595</v>
      </c>
      <c r="E34" s="141">
        <f t="shared" si="1"/>
        <v>0.042442129629629635</v>
      </c>
      <c r="F34" s="170">
        <f t="shared" si="2"/>
        <v>0.005305266203703704</v>
      </c>
      <c r="G34" s="191">
        <v>131</v>
      </c>
      <c r="H34" s="172">
        <f t="shared" si="0"/>
        <v>0.003229806873374307</v>
      </c>
    </row>
    <row r="35" spans="1:8" ht="15.75">
      <c r="A35" s="134">
        <v>9</v>
      </c>
      <c r="B35" s="170">
        <v>0.0052662037037037035</v>
      </c>
      <c r="C35" s="139">
        <v>0.0052662037037037035</v>
      </c>
      <c r="D35" s="172">
        <v>0.005277777777777777</v>
      </c>
      <c r="E35" s="141">
        <f t="shared" si="1"/>
        <v>0.04771990740740741</v>
      </c>
      <c r="F35" s="170">
        <f t="shared" si="2"/>
        <v>0.005302211934156379</v>
      </c>
      <c r="G35" s="191">
        <v>132</v>
      </c>
      <c r="H35" s="172">
        <f t="shared" si="0"/>
        <v>0.003280160209930253</v>
      </c>
    </row>
    <row r="36" spans="1:8" ht="15.75">
      <c r="A36" s="134">
        <v>10</v>
      </c>
      <c r="B36" s="171">
        <v>0.0052662037037037035</v>
      </c>
      <c r="C36" s="140">
        <v>0.0052662037037037035</v>
      </c>
      <c r="D36" s="173">
        <v>0.005694444444444444</v>
      </c>
      <c r="E36" s="142">
        <f t="shared" si="1"/>
        <v>0.05341435185185186</v>
      </c>
      <c r="F36" s="171">
        <f t="shared" si="2"/>
        <v>0.005341435185185186</v>
      </c>
      <c r="G36" s="192">
        <v>131</v>
      </c>
      <c r="H36" s="172">
        <f t="shared" si="0"/>
        <v>0.003539120226503694</v>
      </c>
    </row>
    <row r="37" spans="1:8" ht="15.75">
      <c r="A37" s="134">
        <v>11</v>
      </c>
      <c r="B37" s="170">
        <v>0.0052662037037037035</v>
      </c>
      <c r="C37" s="139">
        <v>0.005208333333333333</v>
      </c>
      <c r="D37" s="174">
        <v>0.0051967592592592595</v>
      </c>
      <c r="E37" s="141">
        <f t="shared" si="1"/>
        <v>0.05861111111111112</v>
      </c>
      <c r="F37" s="170">
        <f t="shared" si="2"/>
        <v>0.005328282828282829</v>
      </c>
      <c r="G37" s="191">
        <v>133</v>
      </c>
      <c r="H37" s="172">
        <f t="shared" si="0"/>
        <v>0.003229806873374307</v>
      </c>
    </row>
    <row r="38" spans="1:8" ht="15.75">
      <c r="A38" s="134">
        <v>12</v>
      </c>
      <c r="B38" s="170">
        <v>0.0052662037037037035</v>
      </c>
      <c r="C38" s="139">
        <v>0.005208333333333333</v>
      </c>
      <c r="D38" s="172">
        <v>0.005393518518518519</v>
      </c>
      <c r="E38" s="141">
        <f t="shared" si="1"/>
        <v>0.06400462962962963</v>
      </c>
      <c r="F38" s="170">
        <f t="shared" si="2"/>
        <v>0.00533371913580247</v>
      </c>
      <c r="G38" s="191">
        <v>132</v>
      </c>
      <c r="H38" s="172">
        <f t="shared" si="0"/>
        <v>0.0033520935478673205</v>
      </c>
    </row>
    <row r="39" spans="1:8" ht="15.75">
      <c r="A39" s="134">
        <v>13</v>
      </c>
      <c r="B39" s="170">
        <v>0.0052662037037037035</v>
      </c>
      <c r="C39" s="139">
        <v>0.005208333333333333</v>
      </c>
      <c r="D39" s="172">
        <v>0.005393518518518519</v>
      </c>
      <c r="E39" s="141">
        <f t="shared" si="1"/>
        <v>0.06939814814814815</v>
      </c>
      <c r="F39" s="170">
        <f t="shared" si="2"/>
        <v>0.005338319088319088</v>
      </c>
      <c r="G39" s="191">
        <v>132</v>
      </c>
      <c r="H39" s="172">
        <f t="shared" si="0"/>
        <v>0.0033520935478673205</v>
      </c>
    </row>
    <row r="40" spans="1:8" ht="15.75">
      <c r="A40" s="134">
        <v>14</v>
      </c>
      <c r="B40" s="170">
        <v>0.0052662037037037035</v>
      </c>
      <c r="C40" s="139">
        <v>0.005208333333333333</v>
      </c>
      <c r="D40" s="172">
        <v>0.005393518518518519</v>
      </c>
      <c r="E40" s="141">
        <f t="shared" si="1"/>
        <v>0.07479166666666667</v>
      </c>
      <c r="F40" s="170">
        <f t="shared" si="2"/>
        <v>0.005342261904761905</v>
      </c>
      <c r="G40" s="191">
        <v>133</v>
      </c>
      <c r="H40" s="172">
        <f t="shared" si="0"/>
        <v>0.0033520935478673205</v>
      </c>
    </row>
    <row r="41" spans="1:9" ht="15.75">
      <c r="A41" s="134">
        <v>15</v>
      </c>
      <c r="B41" s="171">
        <v>0.0052662037037037035</v>
      </c>
      <c r="C41" s="140">
        <v>0.005208333333333333</v>
      </c>
      <c r="D41" s="173">
        <v>0.005324074074074075</v>
      </c>
      <c r="E41" s="142">
        <f t="shared" si="1"/>
        <v>0.08011574074074075</v>
      </c>
      <c r="F41" s="171">
        <f t="shared" si="2"/>
        <v>0.00534104938271605</v>
      </c>
      <c r="G41" s="192">
        <v>132</v>
      </c>
      <c r="H41" s="172">
        <f t="shared" si="0"/>
        <v>0.003308933545105081</v>
      </c>
      <c r="I41" s="135"/>
    </row>
    <row r="42" spans="1:9" ht="15.75">
      <c r="A42" s="134">
        <v>16</v>
      </c>
      <c r="B42" s="170">
        <v>0.0052662037037037035</v>
      </c>
      <c r="C42" s="139">
        <v>0.005208333333333333</v>
      </c>
      <c r="D42" s="174">
        <v>0.005335648148148148</v>
      </c>
      <c r="E42" s="141">
        <f t="shared" si="1"/>
        <v>0.0854513888888889</v>
      </c>
      <c r="F42" s="170">
        <f t="shared" si="2"/>
        <v>0.005340711805555556</v>
      </c>
      <c r="G42" s="191">
        <v>134</v>
      </c>
      <c r="H42" s="172">
        <f t="shared" si="0"/>
        <v>0.003316126878898787</v>
      </c>
      <c r="I42" s="135"/>
    </row>
    <row r="43" spans="1:9" ht="15.75">
      <c r="A43" s="134">
        <v>17</v>
      </c>
      <c r="B43" s="170">
        <v>0.0052662037037037035</v>
      </c>
      <c r="C43" s="139">
        <v>0.005208333333333333</v>
      </c>
      <c r="D43" s="172">
        <v>0.005324074074074075</v>
      </c>
      <c r="E43" s="141">
        <f t="shared" si="1"/>
        <v>0.09077546296296297</v>
      </c>
      <c r="F43" s="170">
        <f t="shared" si="2"/>
        <v>0.00533973311546841</v>
      </c>
      <c r="G43" s="191">
        <v>134</v>
      </c>
      <c r="H43" s="172">
        <f t="shared" si="0"/>
        <v>0.003308933545105081</v>
      </c>
      <c r="I43" s="135"/>
    </row>
    <row r="44" spans="1:8" ht="15.75">
      <c r="A44" s="134">
        <v>18</v>
      </c>
      <c r="B44" s="170">
        <v>0.0052662037037037035</v>
      </c>
      <c r="C44" s="139">
        <v>0.0052662037037037035</v>
      </c>
      <c r="D44" s="172">
        <v>0.0053125</v>
      </c>
      <c r="E44" s="141">
        <f t="shared" si="1"/>
        <v>0.09608796296296297</v>
      </c>
      <c r="F44" s="170">
        <f t="shared" si="2"/>
        <v>0.005338220164609054</v>
      </c>
      <c r="G44" s="191">
        <v>135</v>
      </c>
      <c r="H44" s="172">
        <f t="shared" si="0"/>
        <v>0.003301740211311374</v>
      </c>
    </row>
    <row r="45" spans="1:8" ht="15.75">
      <c r="A45" s="134">
        <v>19</v>
      </c>
      <c r="B45" s="170">
        <v>0.0052662037037037035</v>
      </c>
      <c r="C45" s="139">
        <v>0.0052662037037037035</v>
      </c>
      <c r="D45" s="172">
        <v>0.0052893518518518515</v>
      </c>
      <c r="E45" s="141">
        <f t="shared" si="1"/>
        <v>0.10137731481481482</v>
      </c>
      <c r="F45" s="170">
        <f t="shared" si="2"/>
        <v>0.005335648148148148</v>
      </c>
      <c r="G45" s="191">
        <v>136</v>
      </c>
      <c r="H45" s="172">
        <f t="shared" si="0"/>
        <v>0.0032873535437239598</v>
      </c>
    </row>
    <row r="46" spans="1:8" ht="15.75">
      <c r="A46" s="134">
        <v>20</v>
      </c>
      <c r="B46" s="171">
        <v>0.0052662037037037035</v>
      </c>
      <c r="C46" s="140">
        <v>0.0052662037037037035</v>
      </c>
      <c r="D46" s="173">
        <v>0.0052893518518518515</v>
      </c>
      <c r="E46" s="142">
        <f t="shared" si="1"/>
        <v>0.10666666666666667</v>
      </c>
      <c r="F46" s="171">
        <f t="shared" si="2"/>
        <v>0.005333333333333334</v>
      </c>
      <c r="G46" s="192">
        <v>137</v>
      </c>
      <c r="H46" s="172">
        <f t="shared" si="0"/>
        <v>0.0032873535437239598</v>
      </c>
    </row>
    <row r="47" spans="1:8" ht="15.75">
      <c r="A47" s="134">
        <v>21</v>
      </c>
      <c r="B47" s="170">
        <v>0.0052662037037037035</v>
      </c>
      <c r="C47" s="139">
        <v>0.005324074074074075</v>
      </c>
      <c r="D47" s="174">
        <v>0.0052893518518518515</v>
      </c>
      <c r="E47" s="141">
        <f t="shared" si="1"/>
        <v>0.11195601851851852</v>
      </c>
      <c r="F47" s="170">
        <f t="shared" si="2"/>
        <v>0.0053312389770723105</v>
      </c>
      <c r="G47" s="191">
        <v>138</v>
      </c>
      <c r="H47" s="172">
        <f t="shared" si="0"/>
        <v>0.0032873535437239598</v>
      </c>
    </row>
    <row r="48" spans="1:8" ht="15.75">
      <c r="A48" s="134">
        <v>22</v>
      </c>
      <c r="B48" s="170">
        <v>0.0052662037037037035</v>
      </c>
      <c r="C48" s="139">
        <v>0.005324074074074075</v>
      </c>
      <c r="D48" s="172">
        <v>0.0052893518518518515</v>
      </c>
      <c r="E48" s="141">
        <f t="shared" si="1"/>
        <v>0.11724537037037037</v>
      </c>
      <c r="F48" s="170">
        <f t="shared" si="2"/>
        <v>0.005329335016835017</v>
      </c>
      <c r="G48" s="191">
        <v>138</v>
      </c>
      <c r="H48" s="172">
        <f t="shared" si="0"/>
        <v>0.0032873535437239598</v>
      </c>
    </row>
    <row r="49" spans="1:8" ht="15.75">
      <c r="A49" s="134">
        <v>23</v>
      </c>
      <c r="B49" s="170">
        <v>0.0052662037037037035</v>
      </c>
      <c r="C49" s="139">
        <v>0.005381944444444445</v>
      </c>
      <c r="D49" s="172">
        <v>0.005335648148148148</v>
      </c>
      <c r="E49" s="141">
        <f t="shared" si="1"/>
        <v>0.12258101851851852</v>
      </c>
      <c r="F49" s="170">
        <f t="shared" si="2"/>
        <v>0.005329609500805153</v>
      </c>
      <c r="G49" s="191">
        <v>140</v>
      </c>
      <c r="H49" s="172">
        <f t="shared" si="0"/>
        <v>0.003316126878898787</v>
      </c>
    </row>
    <row r="50" spans="1:8" ht="15.75">
      <c r="A50" s="134">
        <v>24</v>
      </c>
      <c r="B50" s="170">
        <v>0.0052662037037037035</v>
      </c>
      <c r="C50" s="139">
        <v>0.005381944444444445</v>
      </c>
      <c r="D50" s="172">
        <v>0.005324074074074075</v>
      </c>
      <c r="E50" s="141">
        <f t="shared" si="1"/>
        <v>0.12790509259259258</v>
      </c>
      <c r="F50" s="170">
        <f t="shared" si="2"/>
        <v>0.005329378858024691</v>
      </c>
      <c r="G50" s="191">
        <v>139</v>
      </c>
      <c r="H50" s="172">
        <f t="shared" si="0"/>
        <v>0.003308933545105081</v>
      </c>
    </row>
    <row r="51" spans="1:8" ht="15.75">
      <c r="A51" s="134">
        <v>25</v>
      </c>
      <c r="B51" s="171">
        <v>0.0052662037037037035</v>
      </c>
      <c r="C51" s="140">
        <v>0.005381944444444445</v>
      </c>
      <c r="D51" s="173">
        <v>0.005578703703703704</v>
      </c>
      <c r="E51" s="142">
        <f t="shared" si="1"/>
        <v>0.13348379629629628</v>
      </c>
      <c r="F51" s="171">
        <f t="shared" si="2"/>
        <v>0.005339351851851851</v>
      </c>
      <c r="G51" s="192">
        <v>139</v>
      </c>
      <c r="H51" s="172">
        <f t="shared" si="0"/>
        <v>0.0034671868885666275</v>
      </c>
    </row>
    <row r="52" spans="1:10" ht="15.75">
      <c r="A52" s="134">
        <v>26.2</v>
      </c>
      <c r="B52" s="170">
        <v>0.0052662037037037035</v>
      </c>
      <c r="C52" s="139">
        <v>0.005381944444444445</v>
      </c>
      <c r="D52" s="174">
        <v>0.005439814814814815</v>
      </c>
      <c r="E52" s="141">
        <f>+E51+D52*1.22</f>
        <v>0.14012037037037037</v>
      </c>
      <c r="F52" s="170">
        <f t="shared" si="2"/>
        <v>0.005348105739327113</v>
      </c>
      <c r="G52" s="191">
        <v>139</v>
      </c>
      <c r="H52" s="172">
        <f t="shared" si="0"/>
        <v>0.0033808668830421474</v>
      </c>
      <c r="I52" s="170"/>
      <c r="J52" s="170"/>
    </row>
    <row r="53" spans="1:10" ht="15">
      <c r="A53" s="134"/>
      <c r="B53" s="139"/>
      <c r="G53" s="136"/>
      <c r="I53" s="137"/>
      <c r="J53" s="137"/>
    </row>
    <row r="54" spans="3:5" ht="15">
      <c r="C54" s="139"/>
      <c r="E54" s="141"/>
    </row>
    <row r="55" spans="3:10" ht="15">
      <c r="C55" s="139"/>
      <c r="E55" s="141"/>
      <c r="J55" s="135"/>
    </row>
    <row r="56" ht="15">
      <c r="J56" s="135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2" sqref="A2"/>
    </sheetView>
  </sheetViews>
  <sheetFormatPr defaultColWidth="9.77734375" defaultRowHeight="15" outlineLevelRow="1"/>
  <cols>
    <col min="9" max="9" width="2.88671875" style="0" customWidth="1"/>
    <col min="10" max="10" width="7.6640625" style="0" customWidth="1"/>
    <col min="12" max="12" width="4.4453125" style="0" customWidth="1"/>
  </cols>
  <sheetData>
    <row r="1" spans="1:10" ht="15.75">
      <c r="A1" s="2" t="s">
        <v>52</v>
      </c>
      <c r="E1" s="10" t="s">
        <v>34</v>
      </c>
      <c r="F1" s="11">
        <f>F2/1.609</f>
        <v>26.22436295835923</v>
      </c>
      <c r="G1" s="12"/>
      <c r="H1" s="13"/>
      <c r="J1" s="118" t="s">
        <v>53</v>
      </c>
    </row>
    <row r="2" spans="5:10" ht="15">
      <c r="E2" s="14" t="s">
        <v>56</v>
      </c>
      <c r="F2" s="15">
        <v>42.195</v>
      </c>
      <c r="G2" s="16"/>
      <c r="H2" s="17"/>
      <c r="J2" s="119" t="s">
        <v>49</v>
      </c>
    </row>
    <row r="3" ht="16.5" thickBot="1">
      <c r="J3" s="99">
        <v>0.4166666666666667</v>
      </c>
    </row>
    <row r="4" spans="1:10" ht="15.75" thickBot="1">
      <c r="A4" t="s">
        <v>32</v>
      </c>
      <c r="B4">
        <f>+B5*60+B6</f>
        <v>190</v>
      </c>
      <c r="C4">
        <f aca="true" t="shared" si="0" ref="C4:J4">+C5*60+C6</f>
        <v>195</v>
      </c>
      <c r="D4">
        <f t="shared" si="0"/>
        <v>197</v>
      </c>
      <c r="E4" s="4">
        <f t="shared" si="0"/>
        <v>199</v>
      </c>
      <c r="F4">
        <f t="shared" si="0"/>
        <v>205</v>
      </c>
      <c r="G4">
        <f t="shared" si="0"/>
        <v>210</v>
      </c>
      <c r="H4">
        <f t="shared" si="0"/>
        <v>220</v>
      </c>
      <c r="J4">
        <f t="shared" si="0"/>
        <v>199</v>
      </c>
    </row>
    <row r="5" spans="1:10" ht="15.75">
      <c r="A5" t="s">
        <v>50</v>
      </c>
      <c r="B5" s="5">
        <v>3</v>
      </c>
      <c r="C5" s="5">
        <v>3</v>
      </c>
      <c r="D5" s="5">
        <v>3</v>
      </c>
      <c r="E5" s="19">
        <v>3</v>
      </c>
      <c r="F5" s="5">
        <v>3</v>
      </c>
      <c r="G5" s="5">
        <v>3</v>
      </c>
      <c r="H5" s="5">
        <v>3</v>
      </c>
      <c r="J5" s="98">
        <f>+E5</f>
        <v>3</v>
      </c>
    </row>
    <row r="6" spans="1:10" ht="15.75">
      <c r="A6" t="s">
        <v>51</v>
      </c>
      <c r="B6" s="5">
        <v>10</v>
      </c>
      <c r="C6" s="5">
        <v>15</v>
      </c>
      <c r="D6" s="5">
        <v>17</v>
      </c>
      <c r="E6" s="20">
        <v>19</v>
      </c>
      <c r="F6" s="5">
        <v>25</v>
      </c>
      <c r="G6" s="5">
        <v>30</v>
      </c>
      <c r="H6" s="5">
        <v>40</v>
      </c>
      <c r="J6" s="98">
        <f>+E6</f>
        <v>19</v>
      </c>
    </row>
    <row r="7" spans="2:10" ht="8.25" customHeight="1">
      <c r="B7" s="5"/>
      <c r="C7" s="5"/>
      <c r="D7" s="5"/>
      <c r="E7" s="20"/>
      <c r="F7" s="5"/>
      <c r="G7" s="5"/>
      <c r="H7" s="5"/>
      <c r="J7" s="98"/>
    </row>
    <row r="8" spans="1:10" ht="15">
      <c r="A8" s="3" t="s">
        <v>55</v>
      </c>
      <c r="B8" s="6"/>
      <c r="C8" s="6"/>
      <c r="D8" s="6"/>
      <c r="E8" s="21"/>
      <c r="F8" s="6"/>
      <c r="G8" s="6"/>
      <c r="H8" s="7"/>
      <c r="J8" s="100"/>
    </row>
    <row r="9" spans="1:12" ht="15">
      <c r="A9" s="111">
        <v>1</v>
      </c>
      <c r="B9" s="108">
        <f aca="true" t="shared" si="1" ref="B9:H9">B4/$A$50/24/60</f>
        <v>0.0031270161024871293</v>
      </c>
      <c r="C9" s="108">
        <f t="shared" si="1"/>
        <v>0.0032093059999210014</v>
      </c>
      <c r="D9" s="104">
        <f t="shared" si="1"/>
        <v>0.00324222195889455</v>
      </c>
      <c r="E9" s="22">
        <f t="shared" si="1"/>
        <v>0.003275137917868099</v>
      </c>
      <c r="F9" s="108">
        <f t="shared" si="1"/>
        <v>0.003373885794788745</v>
      </c>
      <c r="G9" s="115">
        <f t="shared" si="1"/>
        <v>0.003456175692222617</v>
      </c>
      <c r="H9" s="108">
        <f t="shared" si="1"/>
        <v>0.0036207554870903605</v>
      </c>
      <c r="J9" s="101">
        <f>($J$4/$A$50/24/60)*A9+$J$3</f>
        <v>0.4199418045845348</v>
      </c>
      <c r="K9" s="104"/>
      <c r="L9" s="240"/>
    </row>
    <row r="10" spans="1:12" ht="15" hidden="1" outlineLevel="1">
      <c r="A10" s="111">
        <v>2</v>
      </c>
      <c r="B10" s="108">
        <f>+A10*$B$9</f>
        <v>0.006254032204974259</v>
      </c>
      <c r="C10" s="108">
        <f>+A10*$C$9</f>
        <v>0.006418611999842003</v>
      </c>
      <c r="D10" s="104">
        <f>+A10*$D$9</f>
        <v>0.0064844439177891</v>
      </c>
      <c r="E10" s="22">
        <f aca="true" t="shared" si="2" ref="E10:E17">+A10*$E$9</f>
        <v>0.006550275835736198</v>
      </c>
      <c r="F10" s="108">
        <f>+A10*$F$9</f>
        <v>0.00674777158957749</v>
      </c>
      <c r="G10" s="115">
        <f>+A10*$G$9</f>
        <v>0.006912351384445234</v>
      </c>
      <c r="H10" s="108">
        <f>+A10*$H$9</f>
        <v>0.007241510974180721</v>
      </c>
      <c r="J10" s="101">
        <f>($J$4/$A$50/24/60)*A10+$J$3</f>
        <v>0.4232169425024029</v>
      </c>
      <c r="K10" s="104"/>
      <c r="L10" s="240"/>
    </row>
    <row r="11" spans="1:12" ht="15" hidden="1" outlineLevel="1">
      <c r="A11" s="111">
        <v>3</v>
      </c>
      <c r="B11" s="108">
        <f aca="true" t="shared" si="3" ref="B11:B27">+A11*$B$9</f>
        <v>0.009381048307461387</v>
      </c>
      <c r="C11" s="108">
        <f aca="true" t="shared" si="4" ref="C11:C27">+A11*$C$9</f>
        <v>0.009627917999763005</v>
      </c>
      <c r="D11" s="104">
        <f aca="true" t="shared" si="5" ref="D11:D27">+A11*$D$9</f>
        <v>0.00972666587668365</v>
      </c>
      <c r="E11" s="22">
        <f t="shared" si="2"/>
        <v>0.009825413753604297</v>
      </c>
      <c r="F11" s="108">
        <f aca="true" t="shared" si="6" ref="F11:F27">+A11*$F$9</f>
        <v>0.010121657384366234</v>
      </c>
      <c r="G11" s="115">
        <f aca="true" t="shared" si="7" ref="G11:G27">+A11*$G$9</f>
        <v>0.010368527076667852</v>
      </c>
      <c r="H11" s="108">
        <f aca="true" t="shared" si="8" ref="H11:H27">+A11*$H$9</f>
        <v>0.010862266461271081</v>
      </c>
      <c r="J11" s="101">
        <f aca="true" t="shared" si="9" ref="J11:J27">($J$4/$A$50/24/60)*A11+$J$3</f>
        <v>0.426492080420271</v>
      </c>
      <c r="K11" s="104"/>
      <c r="L11" s="240"/>
    </row>
    <row r="12" spans="1:12" ht="15" hidden="1" outlineLevel="1">
      <c r="A12" s="111">
        <v>4</v>
      </c>
      <c r="B12" s="108">
        <f t="shared" si="3"/>
        <v>0.012508064409948517</v>
      </c>
      <c r="C12" s="108">
        <f t="shared" si="4"/>
        <v>0.012837223999684006</v>
      </c>
      <c r="D12" s="104">
        <f t="shared" si="5"/>
        <v>0.0129688878355782</v>
      </c>
      <c r="E12" s="22">
        <f t="shared" si="2"/>
        <v>0.013100551671472395</v>
      </c>
      <c r="F12" s="108">
        <f t="shared" si="6"/>
        <v>0.01349554317915498</v>
      </c>
      <c r="G12" s="115">
        <f t="shared" si="7"/>
        <v>0.013824702768890468</v>
      </c>
      <c r="H12" s="108">
        <f t="shared" si="8"/>
        <v>0.014483021948361442</v>
      </c>
      <c r="J12" s="101">
        <f t="shared" si="9"/>
        <v>0.4297672183381391</v>
      </c>
      <c r="K12" s="104"/>
      <c r="L12" s="240"/>
    </row>
    <row r="13" spans="1:12" ht="15" collapsed="1">
      <c r="A13" s="111">
        <v>5</v>
      </c>
      <c r="B13" s="108">
        <f t="shared" si="3"/>
        <v>0.015635080512435645</v>
      </c>
      <c r="C13" s="108">
        <f t="shared" si="4"/>
        <v>0.016046529999605007</v>
      </c>
      <c r="D13" s="104">
        <f t="shared" si="5"/>
        <v>0.01621110979447275</v>
      </c>
      <c r="E13" s="22">
        <f t="shared" si="2"/>
        <v>0.016375689589340495</v>
      </c>
      <c r="F13" s="108">
        <f t="shared" si="6"/>
        <v>0.016869428973943723</v>
      </c>
      <c r="G13" s="115">
        <f t="shared" si="7"/>
        <v>0.017280878461113085</v>
      </c>
      <c r="H13" s="108">
        <f t="shared" si="8"/>
        <v>0.0181037774354518</v>
      </c>
      <c r="J13" s="101">
        <f t="shared" si="9"/>
        <v>0.4330423562560072</v>
      </c>
      <c r="L13" s="240"/>
    </row>
    <row r="14" spans="1:12" ht="15" hidden="1" outlineLevel="1">
      <c r="A14" s="111">
        <v>6</v>
      </c>
      <c r="B14" s="108">
        <f t="shared" si="3"/>
        <v>0.018762096614922775</v>
      </c>
      <c r="C14" s="108">
        <f t="shared" si="4"/>
        <v>0.01925583599952601</v>
      </c>
      <c r="D14" s="104">
        <f t="shared" si="5"/>
        <v>0.0194533317533673</v>
      </c>
      <c r="E14" s="22">
        <f t="shared" si="2"/>
        <v>0.019650827507208594</v>
      </c>
      <c r="F14" s="108">
        <f t="shared" si="6"/>
        <v>0.02024331476873247</v>
      </c>
      <c r="G14" s="115">
        <f t="shared" si="7"/>
        <v>0.020737054153335703</v>
      </c>
      <c r="H14" s="108">
        <f t="shared" si="8"/>
        <v>0.021724532922542162</v>
      </c>
      <c r="J14" s="101">
        <f t="shared" si="9"/>
        <v>0.4363174941738753</v>
      </c>
      <c r="L14" s="240"/>
    </row>
    <row r="15" spans="1:12" ht="15" hidden="1" outlineLevel="1">
      <c r="A15" s="111">
        <v>7</v>
      </c>
      <c r="B15" s="108">
        <f t="shared" si="3"/>
        <v>0.021889112717409905</v>
      </c>
      <c r="C15" s="108">
        <f t="shared" si="4"/>
        <v>0.02246514199944701</v>
      </c>
      <c r="D15" s="104">
        <f t="shared" si="5"/>
        <v>0.02269555371226185</v>
      </c>
      <c r="E15" s="22">
        <f t="shared" si="2"/>
        <v>0.022925965425076692</v>
      </c>
      <c r="F15" s="108">
        <f t="shared" si="6"/>
        <v>0.023617200563521214</v>
      </c>
      <c r="G15" s="115">
        <f t="shared" si="7"/>
        <v>0.024193229845558318</v>
      </c>
      <c r="H15" s="108">
        <f t="shared" si="8"/>
        <v>0.025345288409632523</v>
      </c>
      <c r="J15" s="101">
        <f t="shared" si="9"/>
        <v>0.4395926320917434</v>
      </c>
      <c r="L15" s="240"/>
    </row>
    <row r="16" spans="1:12" ht="15" hidden="1" outlineLevel="1">
      <c r="A16" s="111">
        <v>8</v>
      </c>
      <c r="B16" s="108">
        <f t="shared" si="3"/>
        <v>0.025016128819897034</v>
      </c>
      <c r="C16" s="108">
        <f t="shared" si="4"/>
        <v>0.02567444799936801</v>
      </c>
      <c r="D16" s="104">
        <f t="shared" si="5"/>
        <v>0.0259377756711564</v>
      </c>
      <c r="E16" s="22">
        <f t="shared" si="2"/>
        <v>0.02620110334294479</v>
      </c>
      <c r="F16" s="108">
        <f t="shared" si="6"/>
        <v>0.02699108635830996</v>
      </c>
      <c r="G16" s="115">
        <f t="shared" si="7"/>
        <v>0.027649405537780936</v>
      </c>
      <c r="H16" s="108">
        <f t="shared" si="8"/>
        <v>0.028966043896722884</v>
      </c>
      <c r="J16" s="101">
        <f t="shared" si="9"/>
        <v>0.44286777000961147</v>
      </c>
      <c r="L16" s="240"/>
    </row>
    <row r="17" spans="1:12" ht="15" hidden="1" outlineLevel="1">
      <c r="A17" s="111">
        <v>9</v>
      </c>
      <c r="B17" s="108">
        <f t="shared" si="3"/>
        <v>0.028143144922384164</v>
      </c>
      <c r="C17" s="108">
        <f t="shared" si="4"/>
        <v>0.028883753999289014</v>
      </c>
      <c r="D17" s="104">
        <f t="shared" si="5"/>
        <v>0.02917999763005095</v>
      </c>
      <c r="E17" s="22">
        <f t="shared" si="2"/>
        <v>0.02947624126081289</v>
      </c>
      <c r="F17" s="108">
        <f t="shared" si="6"/>
        <v>0.030364972153098704</v>
      </c>
      <c r="G17" s="115">
        <f t="shared" si="7"/>
        <v>0.031105581230003555</v>
      </c>
      <c r="H17" s="108">
        <f t="shared" si="8"/>
        <v>0.032586799383813245</v>
      </c>
      <c r="J17" s="101">
        <f t="shared" si="9"/>
        <v>0.44614290792747957</v>
      </c>
      <c r="L17" s="240"/>
    </row>
    <row r="18" spans="1:12" ht="15" collapsed="1">
      <c r="A18" s="111">
        <v>10</v>
      </c>
      <c r="B18" s="108">
        <f t="shared" si="3"/>
        <v>0.03127016102487129</v>
      </c>
      <c r="C18" s="108">
        <f t="shared" si="4"/>
        <v>0.032093059999210014</v>
      </c>
      <c r="D18" s="104">
        <f t="shared" si="5"/>
        <v>0.0324222195889455</v>
      </c>
      <c r="E18" s="22">
        <f>E9*$A$18</f>
        <v>0.03275137917868099</v>
      </c>
      <c r="F18" s="108">
        <f t="shared" si="6"/>
        <v>0.033738857947887446</v>
      </c>
      <c r="G18" s="115">
        <f t="shared" si="7"/>
        <v>0.03456175692222617</v>
      </c>
      <c r="H18" s="108">
        <f t="shared" si="8"/>
        <v>0.0362075548709036</v>
      </c>
      <c r="J18" s="101">
        <f t="shared" si="9"/>
        <v>0.44941804584534767</v>
      </c>
      <c r="L18" s="240"/>
    </row>
    <row r="19" spans="1:12" ht="15" hidden="1" outlineLevel="1">
      <c r="A19" s="111">
        <v>11</v>
      </c>
      <c r="B19" s="108">
        <f t="shared" si="3"/>
        <v>0.03439717712735842</v>
      </c>
      <c r="C19" s="108">
        <f t="shared" si="4"/>
        <v>0.035302365999131016</v>
      </c>
      <c r="D19" s="104">
        <f t="shared" si="5"/>
        <v>0.03566444154784005</v>
      </c>
      <c r="E19" s="22">
        <f>+A19*$E$9</f>
        <v>0.03602651709654909</v>
      </c>
      <c r="F19" s="108">
        <f t="shared" si="6"/>
        <v>0.037112743742676195</v>
      </c>
      <c r="G19" s="115">
        <f t="shared" si="7"/>
        <v>0.03801793261444879</v>
      </c>
      <c r="H19" s="108">
        <f t="shared" si="8"/>
        <v>0.039828310357993967</v>
      </c>
      <c r="J19" s="101">
        <f t="shared" si="9"/>
        <v>0.45269318376321577</v>
      </c>
      <c r="L19" s="240"/>
    </row>
    <row r="20" spans="1:12" ht="15" hidden="1" outlineLevel="1">
      <c r="A20" s="111">
        <v>12</v>
      </c>
      <c r="B20" s="108">
        <f t="shared" si="3"/>
        <v>0.03752419322984555</v>
      </c>
      <c r="C20" s="108">
        <f t="shared" si="4"/>
        <v>0.03851167199905202</v>
      </c>
      <c r="D20" s="104">
        <f t="shared" si="5"/>
        <v>0.0389066635067346</v>
      </c>
      <c r="E20" s="22">
        <f>+A20*$E$9</f>
        <v>0.03930165501441719</v>
      </c>
      <c r="F20" s="108">
        <f t="shared" si="6"/>
        <v>0.04048662953746494</v>
      </c>
      <c r="G20" s="115">
        <f t="shared" si="7"/>
        <v>0.041474108306671406</v>
      </c>
      <c r="H20" s="108">
        <f t="shared" si="8"/>
        <v>0.043449065845084324</v>
      </c>
      <c r="J20" s="101">
        <f t="shared" si="9"/>
        <v>0.45596832168108387</v>
      </c>
      <c r="L20" s="240"/>
    </row>
    <row r="21" spans="1:12" ht="15" hidden="1" outlineLevel="1">
      <c r="A21" s="111">
        <v>13</v>
      </c>
      <c r="B21" s="108">
        <f t="shared" si="3"/>
        <v>0.04065120933233268</v>
      </c>
      <c r="C21" s="108">
        <f t="shared" si="4"/>
        <v>0.04172097799897302</v>
      </c>
      <c r="D21" s="104">
        <f t="shared" si="5"/>
        <v>0.04214888546562915</v>
      </c>
      <c r="E21" s="22">
        <f>+A21*$E$9</f>
        <v>0.042576792932285286</v>
      </c>
      <c r="F21" s="108">
        <f t="shared" si="6"/>
        <v>0.043860515332253686</v>
      </c>
      <c r="G21" s="115">
        <f t="shared" si="7"/>
        <v>0.044930283998894024</v>
      </c>
      <c r="H21" s="108">
        <f t="shared" si="8"/>
        <v>0.04706982133217469</v>
      </c>
      <c r="J21" s="101">
        <f t="shared" si="9"/>
        <v>0.45924345959895196</v>
      </c>
      <c r="L21" s="240"/>
    </row>
    <row r="22" spans="1:12" ht="15" hidden="1" outlineLevel="1">
      <c r="A22" s="111">
        <v>14</v>
      </c>
      <c r="B22" s="108">
        <f t="shared" si="3"/>
        <v>0.04377822543481981</v>
      </c>
      <c r="C22" s="108">
        <f t="shared" si="4"/>
        <v>0.04493028399889402</v>
      </c>
      <c r="D22" s="104">
        <f t="shared" si="5"/>
        <v>0.0453911074245237</v>
      </c>
      <c r="E22" s="22">
        <f>+A22*$E$9</f>
        <v>0.045851930850153384</v>
      </c>
      <c r="F22" s="108">
        <f t="shared" si="6"/>
        <v>0.04723440112704243</v>
      </c>
      <c r="G22" s="115">
        <f t="shared" si="7"/>
        <v>0.048386459691116636</v>
      </c>
      <c r="H22" s="108">
        <f t="shared" si="8"/>
        <v>0.050690576819265046</v>
      </c>
      <c r="J22" s="101">
        <f t="shared" si="9"/>
        <v>0.46251859751682006</v>
      </c>
      <c r="L22" s="240"/>
    </row>
    <row r="23" spans="1:12" ht="15" collapsed="1">
      <c r="A23" s="111">
        <v>15</v>
      </c>
      <c r="B23" s="108">
        <f t="shared" si="3"/>
        <v>0.04690524153730694</v>
      </c>
      <c r="C23" s="108">
        <f t="shared" si="4"/>
        <v>0.04813958999881502</v>
      </c>
      <c r="D23" s="104">
        <f t="shared" si="5"/>
        <v>0.04863332938341825</v>
      </c>
      <c r="E23" s="22">
        <f>E9*$A$23</f>
        <v>0.04912706876802148</v>
      </c>
      <c r="F23" s="108">
        <f t="shared" si="6"/>
        <v>0.050608286921831176</v>
      </c>
      <c r="G23" s="115">
        <f t="shared" si="7"/>
        <v>0.051842635383339254</v>
      </c>
      <c r="H23" s="108">
        <f t="shared" si="8"/>
        <v>0.05431133230635541</v>
      </c>
      <c r="J23" s="101">
        <f t="shared" si="9"/>
        <v>0.46579373543468816</v>
      </c>
      <c r="L23" s="240"/>
    </row>
    <row r="24" spans="1:12" ht="15" hidden="1" outlineLevel="1">
      <c r="A24" s="111">
        <v>16</v>
      </c>
      <c r="B24" s="108">
        <f t="shared" si="3"/>
        <v>0.05003225763979407</v>
      </c>
      <c r="C24" s="108">
        <f t="shared" si="4"/>
        <v>0.05134889599873602</v>
      </c>
      <c r="D24" s="104">
        <f t="shared" si="5"/>
        <v>0.0518755513423128</v>
      </c>
      <c r="E24" s="22">
        <f>+A24*$E$9</f>
        <v>0.05240220668588958</v>
      </c>
      <c r="F24" s="108">
        <f t="shared" si="6"/>
        <v>0.05398217271661992</v>
      </c>
      <c r="G24" s="115">
        <f t="shared" si="7"/>
        <v>0.05529881107556187</v>
      </c>
      <c r="H24" s="108">
        <f t="shared" si="8"/>
        <v>0.05793208779344577</v>
      </c>
      <c r="J24" s="101">
        <f t="shared" si="9"/>
        <v>0.46906887335255626</v>
      </c>
      <c r="L24" s="240"/>
    </row>
    <row r="25" spans="1:12" ht="15" hidden="1" outlineLevel="1">
      <c r="A25" s="111">
        <v>17</v>
      </c>
      <c r="B25" s="108">
        <f t="shared" si="3"/>
        <v>0.053159273742281195</v>
      </c>
      <c r="C25" s="108">
        <f t="shared" si="4"/>
        <v>0.054558201998657026</v>
      </c>
      <c r="D25" s="104">
        <f t="shared" si="5"/>
        <v>0.05511777330120735</v>
      </c>
      <c r="E25" s="22">
        <f>+A25*$E$9</f>
        <v>0.05567734460375768</v>
      </c>
      <c r="F25" s="108">
        <f t="shared" si="6"/>
        <v>0.05735605851140866</v>
      </c>
      <c r="G25" s="115">
        <f t="shared" si="7"/>
        <v>0.05875498676778449</v>
      </c>
      <c r="H25" s="108">
        <f t="shared" si="8"/>
        <v>0.061552843280536125</v>
      </c>
      <c r="J25" s="101">
        <f t="shared" si="9"/>
        <v>0.47234401127042436</v>
      </c>
      <c r="L25" s="240"/>
    </row>
    <row r="26" spans="1:12" ht="15" hidden="1" outlineLevel="1">
      <c r="A26" s="111">
        <v>18</v>
      </c>
      <c r="B26" s="108">
        <f t="shared" si="3"/>
        <v>0.05628628984476833</v>
      </c>
      <c r="C26" s="108">
        <f t="shared" si="4"/>
        <v>0.05776750799857803</v>
      </c>
      <c r="D26" s="104">
        <f t="shared" si="5"/>
        <v>0.0583599952601019</v>
      </c>
      <c r="E26" s="22">
        <f>+A26*$E$9</f>
        <v>0.05895248252162578</v>
      </c>
      <c r="F26" s="108">
        <f t="shared" si="6"/>
        <v>0.06072994430619741</v>
      </c>
      <c r="G26" s="115">
        <f t="shared" si="7"/>
        <v>0.06221116246000711</v>
      </c>
      <c r="H26" s="108">
        <f t="shared" si="8"/>
        <v>0.06517359876762649</v>
      </c>
      <c r="J26" s="101">
        <f t="shared" si="9"/>
        <v>0.47561914918829246</v>
      </c>
      <c r="L26" s="240"/>
    </row>
    <row r="27" spans="1:12" ht="15" hidden="1" outlineLevel="1">
      <c r="A27" s="111">
        <v>19</v>
      </c>
      <c r="B27" s="108">
        <f t="shared" si="3"/>
        <v>0.059413305947255454</v>
      </c>
      <c r="C27" s="108">
        <f t="shared" si="4"/>
        <v>0.060976813998499024</v>
      </c>
      <c r="D27" s="104">
        <f t="shared" si="5"/>
        <v>0.061602217218996454</v>
      </c>
      <c r="E27" s="22">
        <f>+A27*$E$9</f>
        <v>0.062227620439493876</v>
      </c>
      <c r="F27" s="108">
        <f t="shared" si="6"/>
        <v>0.06410383010098615</v>
      </c>
      <c r="G27" s="115">
        <f t="shared" si="7"/>
        <v>0.06566733815222972</v>
      </c>
      <c r="H27" s="108">
        <f t="shared" si="8"/>
        <v>0.06879435425471685</v>
      </c>
      <c r="J27" s="101">
        <f t="shared" si="9"/>
        <v>0.47889428710616055</v>
      </c>
      <c r="L27" s="240"/>
    </row>
    <row r="28" spans="1:12" ht="15" collapsed="1">
      <c r="A28" s="111">
        <v>20</v>
      </c>
      <c r="B28" s="108">
        <f aca="true" t="shared" si="10" ref="B28:H28">B9*$A$28</f>
        <v>0.06254032204974258</v>
      </c>
      <c r="C28" s="108">
        <f t="shared" si="10"/>
        <v>0.06418611999842003</v>
      </c>
      <c r="D28" s="104">
        <f t="shared" si="10"/>
        <v>0.064844439177891</v>
      </c>
      <c r="E28" s="22">
        <f t="shared" si="10"/>
        <v>0.06550275835736198</v>
      </c>
      <c r="F28" s="108">
        <f t="shared" si="10"/>
        <v>0.06747771589577489</v>
      </c>
      <c r="G28" s="115">
        <f t="shared" si="10"/>
        <v>0.06912351384445234</v>
      </c>
      <c r="H28" s="108">
        <f t="shared" si="10"/>
        <v>0.0724151097418072</v>
      </c>
      <c r="J28" s="101">
        <f aca="true" t="shared" si="11" ref="J28:J33">($J$4/$A$50/24/60)*A28+$J$3</f>
        <v>0.48216942502402865</v>
      </c>
      <c r="L28" s="240"/>
    </row>
    <row r="29" spans="1:12" ht="15">
      <c r="A29" s="111">
        <v>21.1</v>
      </c>
      <c r="B29" s="108">
        <f aca="true" t="shared" si="12" ref="B29:H29">+B50/2</f>
        <v>0.06597222222222221</v>
      </c>
      <c r="C29" s="108">
        <f t="shared" si="12"/>
        <v>0.06770833333333333</v>
      </c>
      <c r="D29" s="104">
        <f t="shared" si="12"/>
        <v>0.06840277777777777</v>
      </c>
      <c r="E29" s="22">
        <f t="shared" si="12"/>
        <v>0.06909722222222221</v>
      </c>
      <c r="F29" s="108">
        <f t="shared" si="12"/>
        <v>0.07118055555555555</v>
      </c>
      <c r="G29" s="115">
        <f t="shared" si="12"/>
        <v>0.07291666666666666</v>
      </c>
      <c r="H29" s="108">
        <f t="shared" si="12"/>
        <v>0.07638888888888888</v>
      </c>
      <c r="J29" s="101">
        <f t="shared" si="11"/>
        <v>0.48577207673368356</v>
      </c>
      <c r="L29" s="234"/>
    </row>
    <row r="30" spans="1:12" ht="15" hidden="1" outlineLevel="1">
      <c r="A30" s="111">
        <v>22</v>
      </c>
      <c r="B30" s="108">
        <f aca="true" t="shared" si="13" ref="B30:B49">+A30*$B$9</f>
        <v>0.06879435425471685</v>
      </c>
      <c r="C30" s="108">
        <f aca="true" t="shared" si="14" ref="C30:C49">+A30*$C$9</f>
        <v>0.07060473199826203</v>
      </c>
      <c r="D30" s="104">
        <f aca="true" t="shared" si="15" ref="D30:D49">+A30*$D$9</f>
        <v>0.0713288830956801</v>
      </c>
      <c r="E30" s="22">
        <f aca="true" t="shared" si="16" ref="E30:E49">+A30*$E$9</f>
        <v>0.07205303419309818</v>
      </c>
      <c r="F30" s="108">
        <f aca="true" t="shared" si="17" ref="F30:F49">+A30*$F$9</f>
        <v>0.07422548748535239</v>
      </c>
      <c r="G30" s="115">
        <f aca="true" t="shared" si="18" ref="G30:G49">+A30*$G$9</f>
        <v>0.07603586522889758</v>
      </c>
      <c r="H30" s="108">
        <f aca="true" t="shared" si="19" ref="H30:H49">+A30*$H$9</f>
        <v>0.07965662071598793</v>
      </c>
      <c r="J30" s="101">
        <f t="shared" si="11"/>
        <v>0.48871970085976485</v>
      </c>
      <c r="L30" s="234"/>
    </row>
    <row r="31" spans="1:12" ht="15" hidden="1" outlineLevel="1">
      <c r="A31" s="111">
        <v>23</v>
      </c>
      <c r="B31" s="108">
        <f t="shared" si="13"/>
        <v>0.07192137035720397</v>
      </c>
      <c r="C31" s="108">
        <f t="shared" si="14"/>
        <v>0.07381403799818304</v>
      </c>
      <c r="D31" s="104">
        <f t="shared" si="15"/>
        <v>0.07457110505457465</v>
      </c>
      <c r="E31" s="22">
        <f t="shared" si="16"/>
        <v>0.07532817211096628</v>
      </c>
      <c r="F31" s="108">
        <f t="shared" si="17"/>
        <v>0.07759937328014113</v>
      </c>
      <c r="G31" s="115">
        <f t="shared" si="18"/>
        <v>0.0794920409211202</v>
      </c>
      <c r="H31" s="108">
        <f t="shared" si="19"/>
        <v>0.08327737620307829</v>
      </c>
      <c r="J31" s="101">
        <f t="shared" si="11"/>
        <v>0.49199483877763295</v>
      </c>
      <c r="L31" s="234"/>
    </row>
    <row r="32" spans="1:12" ht="15" hidden="1" outlineLevel="1">
      <c r="A32" s="111">
        <v>24</v>
      </c>
      <c r="B32" s="108">
        <f t="shared" si="13"/>
        <v>0.0750483864596911</v>
      </c>
      <c r="C32" s="108">
        <f t="shared" si="14"/>
        <v>0.07702334399810404</v>
      </c>
      <c r="D32" s="104">
        <f t="shared" si="15"/>
        <v>0.0778133270134692</v>
      </c>
      <c r="E32" s="22">
        <f t="shared" si="16"/>
        <v>0.07860331002883438</v>
      </c>
      <c r="F32" s="108">
        <f t="shared" si="17"/>
        <v>0.08097325907492987</v>
      </c>
      <c r="G32" s="115">
        <f t="shared" si="18"/>
        <v>0.08294821661334281</v>
      </c>
      <c r="H32" s="108">
        <f t="shared" si="19"/>
        <v>0.08689813169016865</v>
      </c>
      <c r="J32" s="101">
        <f t="shared" si="11"/>
        <v>0.49526997669550105</v>
      </c>
      <c r="L32" s="234"/>
    </row>
    <row r="33" spans="1:10" ht="15" collapsed="1">
      <c r="A33" s="111">
        <v>25</v>
      </c>
      <c r="B33" s="108">
        <f t="shared" si="13"/>
        <v>0.07817540256217823</v>
      </c>
      <c r="C33" s="108">
        <f t="shared" si="14"/>
        <v>0.08023264999802504</v>
      </c>
      <c r="D33" s="104">
        <f t="shared" si="15"/>
        <v>0.08105554897236375</v>
      </c>
      <c r="E33" s="22">
        <f t="shared" si="16"/>
        <v>0.08187844794670247</v>
      </c>
      <c r="F33" s="108">
        <f t="shared" si="17"/>
        <v>0.08434714486971862</v>
      </c>
      <c r="G33" s="115">
        <f t="shared" si="18"/>
        <v>0.08640439230556543</v>
      </c>
      <c r="H33" s="108">
        <f t="shared" si="19"/>
        <v>0.090518887177259</v>
      </c>
      <c r="J33" s="101">
        <f t="shared" si="11"/>
        <v>0.49854511461336914</v>
      </c>
    </row>
    <row r="34" spans="1:10" ht="15" hidden="1" outlineLevel="1">
      <c r="A34" s="111">
        <v>26</v>
      </c>
      <c r="B34" s="108">
        <f t="shared" si="13"/>
        <v>0.08130241866466537</v>
      </c>
      <c r="C34" s="108">
        <f t="shared" si="14"/>
        <v>0.08344195599794604</v>
      </c>
      <c r="D34" s="104">
        <f t="shared" si="15"/>
        <v>0.0842977709312583</v>
      </c>
      <c r="E34" s="22">
        <f t="shared" si="16"/>
        <v>0.08515358586457057</v>
      </c>
      <c r="F34" s="108">
        <f t="shared" si="17"/>
        <v>0.08772103066450737</v>
      </c>
      <c r="G34" s="115">
        <f t="shared" si="18"/>
        <v>0.08986056799778805</v>
      </c>
      <c r="H34" s="108">
        <f t="shared" si="19"/>
        <v>0.09413964266434938</v>
      </c>
      <c r="J34" s="101">
        <f aca="true" t="shared" si="20" ref="J34:J49">($J$4/$A$50/24/60)*A34+$J$3</f>
        <v>0.5018202525312373</v>
      </c>
    </row>
    <row r="35" spans="1:10" ht="15" hidden="1" outlineLevel="1">
      <c r="A35" s="111">
        <v>27</v>
      </c>
      <c r="B35" s="108">
        <f t="shared" si="13"/>
        <v>0.08442943476715249</v>
      </c>
      <c r="C35" s="108">
        <f t="shared" si="14"/>
        <v>0.08665126199786703</v>
      </c>
      <c r="D35" s="104">
        <f t="shared" si="15"/>
        <v>0.08753999289015285</v>
      </c>
      <c r="E35" s="22">
        <f t="shared" si="16"/>
        <v>0.08842872378243867</v>
      </c>
      <c r="F35" s="108">
        <f t="shared" si="17"/>
        <v>0.09109491645929611</v>
      </c>
      <c r="G35" s="115">
        <f t="shared" si="18"/>
        <v>0.09331674369001065</v>
      </c>
      <c r="H35" s="108">
        <f t="shared" si="19"/>
        <v>0.09776039815143973</v>
      </c>
      <c r="J35" s="101">
        <f t="shared" si="20"/>
        <v>0.5050953904491053</v>
      </c>
    </row>
    <row r="36" spans="1:10" ht="15" hidden="1" outlineLevel="1">
      <c r="A36" s="111">
        <v>28</v>
      </c>
      <c r="B36" s="108">
        <f t="shared" si="13"/>
        <v>0.08755645086963962</v>
      </c>
      <c r="C36" s="108">
        <f t="shared" si="14"/>
        <v>0.08986056799778804</v>
      </c>
      <c r="D36" s="104">
        <f t="shared" si="15"/>
        <v>0.0907822148490474</v>
      </c>
      <c r="E36" s="22">
        <f t="shared" si="16"/>
        <v>0.09170386170030677</v>
      </c>
      <c r="F36" s="108">
        <f t="shared" si="17"/>
        <v>0.09446880225408485</v>
      </c>
      <c r="G36" s="115">
        <f t="shared" si="18"/>
        <v>0.09677291938223327</v>
      </c>
      <c r="H36" s="108">
        <f t="shared" si="19"/>
        <v>0.10138115363853009</v>
      </c>
      <c r="J36" s="101">
        <f t="shared" si="20"/>
        <v>0.5083705283669735</v>
      </c>
    </row>
    <row r="37" spans="1:10" ht="15" hidden="1" outlineLevel="1">
      <c r="A37" s="111">
        <v>29</v>
      </c>
      <c r="B37" s="108">
        <f t="shared" si="13"/>
        <v>0.09068346697212674</v>
      </c>
      <c r="C37" s="108">
        <f t="shared" si="14"/>
        <v>0.09306987399770904</v>
      </c>
      <c r="D37" s="104">
        <f t="shared" si="15"/>
        <v>0.09402443680794195</v>
      </c>
      <c r="E37" s="22">
        <f t="shared" si="16"/>
        <v>0.09497899961817487</v>
      </c>
      <c r="F37" s="108">
        <f t="shared" si="17"/>
        <v>0.0978426880488736</v>
      </c>
      <c r="G37" s="115">
        <f t="shared" si="18"/>
        <v>0.10022909507445589</v>
      </c>
      <c r="H37" s="108">
        <f t="shared" si="19"/>
        <v>0.10500190912562045</v>
      </c>
      <c r="J37" s="101">
        <f t="shared" si="20"/>
        <v>0.5116456662848415</v>
      </c>
    </row>
    <row r="38" spans="1:10" ht="15" collapsed="1">
      <c r="A38" s="111">
        <v>30</v>
      </c>
      <c r="B38" s="108">
        <f t="shared" si="13"/>
        <v>0.09381048307461388</v>
      </c>
      <c r="C38" s="108">
        <f t="shared" si="14"/>
        <v>0.09627917999763004</v>
      </c>
      <c r="D38" s="104">
        <f t="shared" si="15"/>
        <v>0.0972666587668365</v>
      </c>
      <c r="E38" s="22">
        <f t="shared" si="16"/>
        <v>0.09825413753604297</v>
      </c>
      <c r="F38" s="108">
        <f t="shared" si="17"/>
        <v>0.10121657384366235</v>
      </c>
      <c r="G38" s="115">
        <f t="shared" si="18"/>
        <v>0.10368527076667851</v>
      </c>
      <c r="H38" s="108">
        <f t="shared" si="19"/>
        <v>0.10862266461271082</v>
      </c>
      <c r="J38" s="101">
        <f t="shared" si="20"/>
        <v>0.5149208042027097</v>
      </c>
    </row>
    <row r="39" spans="1:10" ht="15" hidden="1" outlineLevel="1">
      <c r="A39" s="111">
        <v>31</v>
      </c>
      <c r="B39" s="108">
        <f t="shared" si="13"/>
        <v>0.09693749917710101</v>
      </c>
      <c r="C39" s="108">
        <f t="shared" si="14"/>
        <v>0.09948848599755104</v>
      </c>
      <c r="D39" s="104">
        <f t="shared" si="15"/>
        <v>0.10050888072573105</v>
      </c>
      <c r="E39" s="22">
        <f t="shared" si="16"/>
        <v>0.10152927545391106</v>
      </c>
      <c r="F39" s="108">
        <f t="shared" si="17"/>
        <v>0.1045904596384511</v>
      </c>
      <c r="G39" s="115">
        <f t="shared" si="18"/>
        <v>0.10714144645890113</v>
      </c>
      <c r="H39" s="108">
        <f t="shared" si="19"/>
        <v>0.11224342009980118</v>
      </c>
      <c r="J39" s="101">
        <f t="shared" si="20"/>
        <v>0.5181959421205777</v>
      </c>
    </row>
    <row r="40" spans="1:10" ht="15" hidden="1" outlineLevel="1">
      <c r="A40" s="111">
        <v>32</v>
      </c>
      <c r="B40" s="108">
        <f t="shared" si="13"/>
        <v>0.10006451527958814</v>
      </c>
      <c r="C40" s="108">
        <f t="shared" si="14"/>
        <v>0.10269779199747205</v>
      </c>
      <c r="D40" s="104">
        <f t="shared" si="15"/>
        <v>0.1037511026846256</v>
      </c>
      <c r="E40" s="22">
        <f t="shared" si="16"/>
        <v>0.10480441337177916</v>
      </c>
      <c r="F40" s="108">
        <f t="shared" si="17"/>
        <v>0.10796434543323984</v>
      </c>
      <c r="G40" s="115">
        <f t="shared" si="18"/>
        <v>0.11059762215112375</v>
      </c>
      <c r="H40" s="108">
        <f t="shared" si="19"/>
        <v>0.11586417558689154</v>
      </c>
      <c r="J40" s="101">
        <f t="shared" si="20"/>
        <v>0.5214710800384459</v>
      </c>
    </row>
    <row r="41" spans="1:10" ht="15" hidden="1" outlineLevel="1">
      <c r="A41" s="111">
        <v>33</v>
      </c>
      <c r="B41" s="108">
        <f t="shared" si="13"/>
        <v>0.10319153138207526</v>
      </c>
      <c r="C41" s="108">
        <f t="shared" si="14"/>
        <v>0.10590709799739305</v>
      </c>
      <c r="D41" s="104">
        <f t="shared" si="15"/>
        <v>0.10699332464352015</v>
      </c>
      <c r="E41" s="22">
        <f t="shared" si="16"/>
        <v>0.10807955128964726</v>
      </c>
      <c r="F41" s="108">
        <f t="shared" si="17"/>
        <v>0.11133823122802858</v>
      </c>
      <c r="G41" s="115">
        <f t="shared" si="18"/>
        <v>0.11405379784334636</v>
      </c>
      <c r="H41" s="108">
        <f t="shared" si="19"/>
        <v>0.11948493107398189</v>
      </c>
      <c r="J41" s="101">
        <f t="shared" si="20"/>
        <v>0.5247462179563139</v>
      </c>
    </row>
    <row r="42" spans="1:10" ht="15" hidden="1" outlineLevel="1">
      <c r="A42" s="111">
        <v>34</v>
      </c>
      <c r="B42" s="108">
        <f t="shared" si="13"/>
        <v>0.10631854748456239</v>
      </c>
      <c r="C42" s="108">
        <f t="shared" si="14"/>
        <v>0.10911640399731405</v>
      </c>
      <c r="D42" s="104">
        <f t="shared" si="15"/>
        <v>0.1102355466024147</v>
      </c>
      <c r="E42" s="22">
        <f t="shared" si="16"/>
        <v>0.11135468920751536</v>
      </c>
      <c r="F42" s="108">
        <f t="shared" si="17"/>
        <v>0.11471211702281732</v>
      </c>
      <c r="G42" s="115">
        <f t="shared" si="18"/>
        <v>0.11750997353556898</v>
      </c>
      <c r="H42" s="108">
        <f t="shared" si="19"/>
        <v>0.12310568656107225</v>
      </c>
      <c r="J42" s="101">
        <f t="shared" si="20"/>
        <v>0.5280213558741821</v>
      </c>
    </row>
    <row r="43" spans="1:10" ht="15" collapsed="1">
      <c r="A43" s="111">
        <v>35</v>
      </c>
      <c r="B43" s="108">
        <f t="shared" si="13"/>
        <v>0.10944556358704953</v>
      </c>
      <c r="C43" s="108">
        <f t="shared" si="14"/>
        <v>0.11232570999723505</v>
      </c>
      <c r="D43" s="104">
        <f t="shared" si="15"/>
        <v>0.11347776856130926</v>
      </c>
      <c r="E43" s="22">
        <f t="shared" si="16"/>
        <v>0.11462982712538346</v>
      </c>
      <c r="F43" s="108">
        <f t="shared" si="17"/>
        <v>0.11808600281760608</v>
      </c>
      <c r="G43" s="115">
        <f t="shared" si="18"/>
        <v>0.1209661492277916</v>
      </c>
      <c r="H43" s="108">
        <f t="shared" si="19"/>
        <v>0.1267264420481626</v>
      </c>
      <c r="J43" s="101">
        <f t="shared" si="20"/>
        <v>0.5312964937920501</v>
      </c>
    </row>
    <row r="44" spans="1:10" ht="15" hidden="1" outlineLevel="1">
      <c r="A44" s="111">
        <v>36</v>
      </c>
      <c r="B44" s="108">
        <f t="shared" si="13"/>
        <v>0.11257257968953666</v>
      </c>
      <c r="C44" s="108">
        <f t="shared" si="14"/>
        <v>0.11553501599715606</v>
      </c>
      <c r="D44" s="104">
        <f t="shared" si="15"/>
        <v>0.1167199905202038</v>
      </c>
      <c r="E44" s="22">
        <f t="shared" si="16"/>
        <v>0.11790496504325156</v>
      </c>
      <c r="F44" s="108">
        <f t="shared" si="17"/>
        <v>0.12145988861239482</v>
      </c>
      <c r="G44" s="115">
        <f t="shared" si="18"/>
        <v>0.12442232492001422</v>
      </c>
      <c r="H44" s="108">
        <f t="shared" si="19"/>
        <v>0.13034719753525298</v>
      </c>
      <c r="J44" s="101">
        <f t="shared" si="20"/>
        <v>0.5345716317099183</v>
      </c>
    </row>
    <row r="45" spans="1:10" ht="15" hidden="1" outlineLevel="1">
      <c r="A45" s="111">
        <v>37</v>
      </c>
      <c r="B45" s="108">
        <f t="shared" si="13"/>
        <v>0.11569959579202378</v>
      </c>
      <c r="C45" s="108">
        <f t="shared" si="14"/>
        <v>0.11874432199707706</v>
      </c>
      <c r="D45" s="104">
        <f t="shared" si="15"/>
        <v>0.11996221247909836</v>
      </c>
      <c r="E45" s="22">
        <f t="shared" si="16"/>
        <v>0.12118010296111965</v>
      </c>
      <c r="F45" s="108">
        <f t="shared" si="17"/>
        <v>0.12483377440718356</v>
      </c>
      <c r="G45" s="115">
        <f t="shared" si="18"/>
        <v>0.12787850061223682</v>
      </c>
      <c r="H45" s="108">
        <f t="shared" si="19"/>
        <v>0.13396795302234335</v>
      </c>
      <c r="J45" s="101">
        <f t="shared" si="20"/>
        <v>0.5378467696277863</v>
      </c>
    </row>
    <row r="46" spans="1:10" ht="15" hidden="1" outlineLevel="1">
      <c r="A46" s="111">
        <v>38</v>
      </c>
      <c r="B46" s="108">
        <f t="shared" si="13"/>
        <v>0.11882661189451091</v>
      </c>
      <c r="C46" s="108">
        <f t="shared" si="14"/>
        <v>0.12195362799699805</v>
      </c>
      <c r="D46" s="104">
        <f t="shared" si="15"/>
        <v>0.12320443443799291</v>
      </c>
      <c r="E46" s="22">
        <f t="shared" si="16"/>
        <v>0.12445524087898775</v>
      </c>
      <c r="F46" s="108">
        <f t="shared" si="17"/>
        <v>0.1282076602019723</v>
      </c>
      <c r="G46" s="115">
        <f t="shared" si="18"/>
        <v>0.13133467630445944</v>
      </c>
      <c r="H46" s="108">
        <f t="shared" si="19"/>
        <v>0.1375887085094337</v>
      </c>
      <c r="J46" s="101">
        <f t="shared" si="20"/>
        <v>0.5411219075456545</v>
      </c>
    </row>
    <row r="47" spans="1:10" ht="15" hidden="1" outlineLevel="1">
      <c r="A47" s="111">
        <v>39</v>
      </c>
      <c r="B47" s="108">
        <f t="shared" si="13"/>
        <v>0.12195362799699805</v>
      </c>
      <c r="C47" s="108">
        <f t="shared" si="14"/>
        <v>0.12516293399691905</v>
      </c>
      <c r="D47" s="104">
        <f t="shared" si="15"/>
        <v>0.12644665639688746</v>
      </c>
      <c r="E47" s="22">
        <f t="shared" si="16"/>
        <v>0.12773037879685586</v>
      </c>
      <c r="F47" s="108">
        <f t="shared" si="17"/>
        <v>0.13158154599676106</v>
      </c>
      <c r="G47" s="115">
        <f t="shared" si="18"/>
        <v>0.13479085199668206</v>
      </c>
      <c r="H47" s="108">
        <f t="shared" si="19"/>
        <v>0.14120946399652406</v>
      </c>
      <c r="J47" s="101">
        <f t="shared" si="20"/>
        <v>0.5443970454635225</v>
      </c>
    </row>
    <row r="48" spans="1:10" ht="15" collapsed="1">
      <c r="A48" s="111">
        <v>40</v>
      </c>
      <c r="B48" s="108">
        <f t="shared" si="13"/>
        <v>0.12508064409948516</v>
      </c>
      <c r="C48" s="108">
        <f t="shared" si="14"/>
        <v>0.12837223999684005</v>
      </c>
      <c r="D48" s="104">
        <f t="shared" si="15"/>
        <v>0.129688878355782</v>
      </c>
      <c r="E48" s="22">
        <f t="shared" si="16"/>
        <v>0.13100551671472396</v>
      </c>
      <c r="F48" s="108">
        <f t="shared" si="17"/>
        <v>0.13495543179154978</v>
      </c>
      <c r="G48" s="115">
        <f t="shared" si="18"/>
        <v>0.13824702768890468</v>
      </c>
      <c r="H48" s="108">
        <f t="shared" si="19"/>
        <v>0.1448302194836144</v>
      </c>
      <c r="J48" s="101">
        <f t="shared" si="20"/>
        <v>0.5476721833813907</v>
      </c>
    </row>
    <row r="49" spans="1:10" ht="15" hidden="1" outlineLevel="1">
      <c r="A49" s="111">
        <v>41</v>
      </c>
      <c r="B49" s="108">
        <f t="shared" si="13"/>
        <v>0.1282076602019723</v>
      </c>
      <c r="C49" s="108">
        <f t="shared" si="14"/>
        <v>0.13158154599676106</v>
      </c>
      <c r="D49" s="104">
        <f t="shared" si="15"/>
        <v>0.13293110031467656</v>
      </c>
      <c r="E49" s="22">
        <f t="shared" si="16"/>
        <v>0.13428065463259206</v>
      </c>
      <c r="F49" s="108">
        <f t="shared" si="17"/>
        <v>0.13832931758633854</v>
      </c>
      <c r="G49" s="115">
        <f t="shared" si="18"/>
        <v>0.1417032033811273</v>
      </c>
      <c r="H49" s="108">
        <f t="shared" si="19"/>
        <v>0.14845097497070478</v>
      </c>
      <c r="J49" s="101">
        <f t="shared" si="20"/>
        <v>0.5509473212992587</v>
      </c>
    </row>
    <row r="50" spans="1:10" ht="15.75" collapsed="1" thickBot="1">
      <c r="A50" s="112">
        <f>+F2</f>
        <v>42.195</v>
      </c>
      <c r="B50" s="109">
        <f aca="true" t="shared" si="21" ref="B50:H50">B9*$A$50</f>
        <v>0.13194444444444442</v>
      </c>
      <c r="C50" s="109">
        <f t="shared" si="21"/>
        <v>0.13541666666666666</v>
      </c>
      <c r="D50" s="105">
        <f t="shared" si="21"/>
        <v>0.13680555555555554</v>
      </c>
      <c r="E50" s="125">
        <f t="shared" si="21"/>
        <v>0.13819444444444443</v>
      </c>
      <c r="F50" s="109">
        <f t="shared" si="21"/>
        <v>0.1423611111111111</v>
      </c>
      <c r="G50" s="116">
        <f t="shared" si="21"/>
        <v>0.14583333333333331</v>
      </c>
      <c r="H50" s="109">
        <f t="shared" si="21"/>
        <v>0.15277777777777776</v>
      </c>
      <c r="J50" s="102">
        <f>($J$4/$A$50/24/60)*A50+$J$3</f>
        <v>0.5548611111111111</v>
      </c>
    </row>
    <row r="51" spans="1:10" ht="8.25" customHeight="1" thickBot="1">
      <c r="A51" s="120"/>
      <c r="B51" s="106"/>
      <c r="C51" s="106"/>
      <c r="D51" s="106"/>
      <c r="E51" s="106"/>
      <c r="F51" s="106"/>
      <c r="G51" s="106"/>
      <c r="H51" s="106"/>
      <c r="I51" s="120"/>
      <c r="J51" s="121"/>
    </row>
    <row r="52" spans="1:10" ht="15">
      <c r="A52" s="113" t="s">
        <v>54</v>
      </c>
      <c r="B52" s="110"/>
      <c r="C52" s="110"/>
      <c r="D52" s="107"/>
      <c r="E52" s="126"/>
      <c r="F52" s="110"/>
      <c r="G52" s="117"/>
      <c r="H52" s="110"/>
      <c r="J52" s="100"/>
    </row>
    <row r="53" spans="1:10" ht="15">
      <c r="A53" s="111">
        <v>1</v>
      </c>
      <c r="B53" s="108">
        <f aca="true" t="shared" si="22" ref="B53:H53">B4/$A$79/24/60</f>
        <v>0.005031368908901792</v>
      </c>
      <c r="C53" s="108">
        <f t="shared" si="22"/>
        <v>0.005163773353872892</v>
      </c>
      <c r="D53" s="104">
        <f t="shared" si="22"/>
        <v>0.005216735131861332</v>
      </c>
      <c r="E53" s="22">
        <f t="shared" si="22"/>
        <v>0.005269696909849772</v>
      </c>
      <c r="F53" s="108">
        <f t="shared" si="22"/>
        <v>0.005428582243815092</v>
      </c>
      <c r="G53" s="115">
        <f t="shared" si="22"/>
        <v>0.005560986688786191</v>
      </c>
      <c r="H53" s="108">
        <f t="shared" si="22"/>
        <v>0.005825795578728391</v>
      </c>
      <c r="J53" s="101">
        <f aca="true" t="shared" si="23" ref="J53:J79">($J$4/$A$79/24/60)*A53+$J$3</f>
        <v>0.4219363635765165</v>
      </c>
    </row>
    <row r="54" spans="1:10" ht="15" hidden="1" outlineLevel="1">
      <c r="A54" s="111">
        <v>2</v>
      </c>
      <c r="B54" s="108">
        <f>B53*$A$54</f>
        <v>0.010062737817803584</v>
      </c>
      <c r="C54" s="108">
        <f aca="true" t="shared" si="24" ref="C54:H54">C53*$A$54</f>
        <v>0.010327546707745784</v>
      </c>
      <c r="D54" s="104">
        <f t="shared" si="24"/>
        <v>0.010433470263722664</v>
      </c>
      <c r="E54" s="22">
        <f t="shared" si="24"/>
        <v>0.010539393819699544</v>
      </c>
      <c r="F54" s="108">
        <f t="shared" si="24"/>
        <v>0.010857164487630184</v>
      </c>
      <c r="G54" s="108">
        <f t="shared" si="24"/>
        <v>0.011121973377572382</v>
      </c>
      <c r="H54" s="108">
        <f t="shared" si="24"/>
        <v>0.011651591157456781</v>
      </c>
      <c r="J54" s="101">
        <f t="shared" si="23"/>
        <v>0.4272060604863662</v>
      </c>
    </row>
    <row r="55" spans="1:10" ht="15" hidden="1" outlineLevel="1">
      <c r="A55" s="111">
        <v>3</v>
      </c>
      <c r="B55" s="108">
        <f>B53*$A$55</f>
        <v>0.015094106726705376</v>
      </c>
      <c r="C55" s="108">
        <f aca="true" t="shared" si="25" ref="C55:H55">C53*$A$55</f>
        <v>0.015491320061618675</v>
      </c>
      <c r="D55" s="104">
        <f t="shared" si="25"/>
        <v>0.015650205395583996</v>
      </c>
      <c r="E55" s="22">
        <f t="shared" si="25"/>
        <v>0.015809090729549315</v>
      </c>
      <c r="F55" s="108">
        <f t="shared" si="25"/>
        <v>0.016285746731445276</v>
      </c>
      <c r="G55" s="108">
        <f t="shared" si="25"/>
        <v>0.01668296006635857</v>
      </c>
      <c r="H55" s="108">
        <f t="shared" si="25"/>
        <v>0.017477386736185173</v>
      </c>
      <c r="J55" s="101">
        <f t="shared" si="23"/>
        <v>0.432475757396216</v>
      </c>
    </row>
    <row r="56" spans="1:10" ht="15" hidden="1" outlineLevel="1">
      <c r="A56" s="111">
        <v>4</v>
      </c>
      <c r="B56" s="108">
        <f>B53*$A$56</f>
        <v>0.020125475635607168</v>
      </c>
      <c r="C56" s="108">
        <f aca="true" t="shared" si="26" ref="C56:H56">C53*$A$56</f>
        <v>0.020655093415491568</v>
      </c>
      <c r="D56" s="104">
        <f t="shared" si="26"/>
        <v>0.020866940527445327</v>
      </c>
      <c r="E56" s="22">
        <f t="shared" si="26"/>
        <v>0.021078787639399087</v>
      </c>
      <c r="F56" s="108">
        <f t="shared" si="26"/>
        <v>0.021714328975260367</v>
      </c>
      <c r="G56" s="108">
        <f t="shared" si="26"/>
        <v>0.022243946755144763</v>
      </c>
      <c r="H56" s="108">
        <f t="shared" si="26"/>
        <v>0.023303182314913563</v>
      </c>
      <c r="J56" s="101">
        <f t="shared" si="23"/>
        <v>0.43774545430606576</v>
      </c>
    </row>
    <row r="57" spans="1:10" ht="15" collapsed="1">
      <c r="A57" s="132">
        <v>5</v>
      </c>
      <c r="B57" s="128">
        <f aca="true" t="shared" si="27" ref="B57:H57">B53*$A$57</f>
        <v>0.02515684454450896</v>
      </c>
      <c r="C57" s="129">
        <f t="shared" si="27"/>
        <v>0.02581886676936446</v>
      </c>
      <c r="D57" s="130">
        <f t="shared" si="27"/>
        <v>0.02608367565930666</v>
      </c>
      <c r="E57" s="131">
        <f t="shared" si="27"/>
        <v>0.02634848454924886</v>
      </c>
      <c r="F57" s="129">
        <f t="shared" si="27"/>
        <v>0.027142911219075458</v>
      </c>
      <c r="G57" s="128">
        <f t="shared" si="27"/>
        <v>0.027804933443930955</v>
      </c>
      <c r="H57" s="129">
        <f t="shared" si="27"/>
        <v>0.029128977893641952</v>
      </c>
      <c r="I57" s="133"/>
      <c r="J57" s="102">
        <f t="shared" si="23"/>
        <v>0.44301515121591556</v>
      </c>
    </row>
    <row r="58" spans="1:10" ht="15" hidden="1" outlineLevel="1">
      <c r="A58" s="111">
        <v>6</v>
      </c>
      <c r="B58" s="108">
        <f>B53*$A$58</f>
        <v>0.030188213453410752</v>
      </c>
      <c r="C58" s="108">
        <f aca="true" t="shared" si="28" ref="C58:H58">C53*$A$58</f>
        <v>0.03098264012323735</v>
      </c>
      <c r="D58" s="104">
        <f t="shared" si="28"/>
        <v>0.03130041079116799</v>
      </c>
      <c r="E58" s="22">
        <f t="shared" si="28"/>
        <v>0.03161818145909863</v>
      </c>
      <c r="F58" s="108">
        <f t="shared" si="28"/>
        <v>0.03257149346289055</v>
      </c>
      <c r="G58" s="108">
        <f t="shared" si="28"/>
        <v>0.03336592013271714</v>
      </c>
      <c r="H58" s="108">
        <f t="shared" si="28"/>
        <v>0.034954773472370346</v>
      </c>
      <c r="I58" s="133"/>
      <c r="J58" s="101">
        <f t="shared" si="23"/>
        <v>0.4482848481257653</v>
      </c>
    </row>
    <row r="59" spans="1:10" ht="15" hidden="1" outlineLevel="1">
      <c r="A59" s="111">
        <v>7</v>
      </c>
      <c r="B59" s="108">
        <f>B53*$A$59</f>
        <v>0.03521958236231254</v>
      </c>
      <c r="C59" s="108">
        <f aca="true" t="shared" si="29" ref="C59:H59">C53*$A$59</f>
        <v>0.03614641347711024</v>
      </c>
      <c r="D59" s="104">
        <f t="shared" si="29"/>
        <v>0.03651714592302932</v>
      </c>
      <c r="E59" s="22">
        <f t="shared" si="29"/>
        <v>0.036887878368948405</v>
      </c>
      <c r="F59" s="108">
        <f t="shared" si="29"/>
        <v>0.03800007570670564</v>
      </c>
      <c r="G59" s="108">
        <f t="shared" si="29"/>
        <v>0.038926906821503335</v>
      </c>
      <c r="H59" s="108">
        <f t="shared" si="29"/>
        <v>0.04078056905109873</v>
      </c>
      <c r="I59" s="133"/>
      <c r="J59" s="101">
        <f t="shared" si="23"/>
        <v>0.4535545450356151</v>
      </c>
    </row>
    <row r="60" spans="1:10" ht="15" hidden="1" outlineLevel="1">
      <c r="A60" s="111">
        <v>8</v>
      </c>
      <c r="B60" s="108">
        <f>B53*$A$60</f>
        <v>0.040250951271214336</v>
      </c>
      <c r="C60" s="108">
        <f aca="true" t="shared" si="30" ref="C60:H60">C53*$A$60</f>
        <v>0.041310186830983135</v>
      </c>
      <c r="D60" s="104">
        <f t="shared" si="30"/>
        <v>0.041733881054890655</v>
      </c>
      <c r="E60" s="22">
        <f t="shared" si="30"/>
        <v>0.042157575278798175</v>
      </c>
      <c r="F60" s="108">
        <f t="shared" si="30"/>
        <v>0.043428657950520734</v>
      </c>
      <c r="G60" s="108">
        <f t="shared" si="30"/>
        <v>0.044487893510289526</v>
      </c>
      <c r="H60" s="108">
        <f t="shared" si="30"/>
        <v>0.046606364629827125</v>
      </c>
      <c r="I60" s="133"/>
      <c r="J60" s="101">
        <f t="shared" si="23"/>
        <v>0.45882424194546484</v>
      </c>
    </row>
    <row r="61" spans="1:10" ht="15" hidden="1" outlineLevel="1">
      <c r="A61" s="111">
        <v>9</v>
      </c>
      <c r="B61" s="108">
        <f>B53*$A$61</f>
        <v>0.04528232018011613</v>
      </c>
      <c r="C61" s="108">
        <f aca="true" t="shared" si="31" ref="C61:H61">C53*$A$61</f>
        <v>0.04647396018485603</v>
      </c>
      <c r="D61" s="104">
        <f t="shared" si="31"/>
        <v>0.04695061618675199</v>
      </c>
      <c r="E61" s="22">
        <f t="shared" si="31"/>
        <v>0.047427272188647944</v>
      </c>
      <c r="F61" s="108">
        <f t="shared" si="31"/>
        <v>0.04885724019433583</v>
      </c>
      <c r="G61" s="108">
        <f t="shared" si="31"/>
        <v>0.05004888019907572</v>
      </c>
      <c r="H61" s="108">
        <f t="shared" si="31"/>
        <v>0.05243216020855552</v>
      </c>
      <c r="I61" s="133"/>
      <c r="J61" s="101">
        <f t="shared" si="23"/>
        <v>0.46409393885531464</v>
      </c>
    </row>
    <row r="62" spans="1:10" ht="15" collapsed="1">
      <c r="A62" s="132">
        <v>10</v>
      </c>
      <c r="B62" s="129">
        <f aca="true" t="shared" si="32" ref="B62:H62">B53*$A$62</f>
        <v>0.05031368908901792</v>
      </c>
      <c r="C62" s="129">
        <f t="shared" si="32"/>
        <v>0.05163773353872892</v>
      </c>
      <c r="D62" s="130">
        <f t="shared" si="32"/>
        <v>0.05216735131861332</v>
      </c>
      <c r="E62" s="131">
        <f t="shared" si="32"/>
        <v>0.05269696909849772</v>
      </c>
      <c r="F62" s="129">
        <f t="shared" si="32"/>
        <v>0.054285822438150916</v>
      </c>
      <c r="G62" s="128">
        <f t="shared" si="32"/>
        <v>0.05560986688786191</v>
      </c>
      <c r="H62" s="129">
        <f t="shared" si="32"/>
        <v>0.058257955787283905</v>
      </c>
      <c r="I62" s="133"/>
      <c r="J62" s="102">
        <f t="shared" si="23"/>
        <v>0.4693636357651644</v>
      </c>
    </row>
    <row r="63" spans="1:10" ht="15" hidden="1" outlineLevel="1">
      <c r="A63" s="111">
        <v>11</v>
      </c>
      <c r="B63" s="108">
        <f>B53*$A$63</f>
        <v>0.05534505799791971</v>
      </c>
      <c r="C63" s="108">
        <f aca="true" t="shared" si="33" ref="C63:H63">C53*$A$63</f>
        <v>0.056801506892601814</v>
      </c>
      <c r="D63" s="104">
        <f t="shared" si="33"/>
        <v>0.05738408645047465</v>
      </c>
      <c r="E63" s="22">
        <f t="shared" si="33"/>
        <v>0.05796666600834749</v>
      </c>
      <c r="F63" s="108">
        <f t="shared" si="33"/>
        <v>0.05971440468196601</v>
      </c>
      <c r="G63" s="108">
        <f t="shared" si="33"/>
        <v>0.0611708535766481</v>
      </c>
      <c r="H63" s="108">
        <f t="shared" si="33"/>
        <v>0.0640837513660123</v>
      </c>
      <c r="I63" s="133"/>
      <c r="J63" s="101">
        <f t="shared" si="23"/>
        <v>0.4746333326750142</v>
      </c>
    </row>
    <row r="64" spans="1:10" ht="15" hidden="1" outlineLevel="1">
      <c r="A64" s="111">
        <v>12</v>
      </c>
      <c r="B64" s="108">
        <f>B53*$A$64</f>
        <v>0.060376426906821504</v>
      </c>
      <c r="C64" s="108">
        <f aca="true" t="shared" si="34" ref="C64:H64">C53*$A$64</f>
        <v>0.0619652802464747</v>
      </c>
      <c r="D64" s="104">
        <f t="shared" si="34"/>
        <v>0.06260082158233599</v>
      </c>
      <c r="E64" s="22">
        <f t="shared" si="34"/>
        <v>0.06323636291819726</v>
      </c>
      <c r="F64" s="108">
        <f t="shared" si="34"/>
        <v>0.0651429869257811</v>
      </c>
      <c r="G64" s="108">
        <f t="shared" si="34"/>
        <v>0.06673184026543429</v>
      </c>
      <c r="H64" s="108">
        <f t="shared" si="34"/>
        <v>0.06990954694474069</v>
      </c>
      <c r="I64" s="133"/>
      <c r="J64" s="101">
        <f t="shared" si="23"/>
        <v>0.47990302958486397</v>
      </c>
    </row>
    <row r="65" spans="1:10" ht="15" hidden="1" outlineLevel="1">
      <c r="A65" s="111">
        <v>13</v>
      </c>
      <c r="B65" s="108">
        <f>B53*$A$65</f>
        <v>0.0654077958157233</v>
      </c>
      <c r="C65" s="108">
        <f aca="true" t="shared" si="35" ref="C65:H65">C53*$A$65</f>
        <v>0.0671290536003476</v>
      </c>
      <c r="D65" s="104">
        <f t="shared" si="35"/>
        <v>0.06781755671419731</v>
      </c>
      <c r="E65" s="22">
        <f t="shared" si="35"/>
        <v>0.06850605982804703</v>
      </c>
      <c r="F65" s="108">
        <f t="shared" si="35"/>
        <v>0.0705715691695962</v>
      </c>
      <c r="G65" s="108">
        <f t="shared" si="35"/>
        <v>0.07229282695422048</v>
      </c>
      <c r="H65" s="108">
        <f t="shared" si="35"/>
        <v>0.07573534252346908</v>
      </c>
      <c r="I65" s="133"/>
      <c r="J65" s="101">
        <f t="shared" si="23"/>
        <v>0.4851727264947137</v>
      </c>
    </row>
    <row r="66" spans="1:10" ht="15" hidden="1" outlineLevel="1">
      <c r="A66" s="127">
        <f>F1/2</f>
        <v>13.112181479179615</v>
      </c>
      <c r="B66" s="108">
        <f>B53*$A$66</f>
        <v>0.06597222222222222</v>
      </c>
      <c r="C66" s="108">
        <f aca="true" t="shared" si="36" ref="C66:H66">C53*$A$66</f>
        <v>0.06770833333333334</v>
      </c>
      <c r="D66" s="104">
        <f t="shared" si="36"/>
        <v>0.06840277777777778</v>
      </c>
      <c r="E66" s="22">
        <f t="shared" si="36"/>
        <v>0.06909722222222223</v>
      </c>
      <c r="F66" s="108">
        <f t="shared" si="36"/>
        <v>0.07118055555555557</v>
      </c>
      <c r="G66" s="108">
        <f t="shared" si="36"/>
        <v>0.07291666666666666</v>
      </c>
      <c r="H66" s="108">
        <f t="shared" si="36"/>
        <v>0.0763888888888889</v>
      </c>
      <c r="I66" s="133"/>
      <c r="J66" s="101">
        <f t="shared" si="23"/>
        <v>0.4857638888888889</v>
      </c>
    </row>
    <row r="67" spans="1:10" ht="15" hidden="1" outlineLevel="1">
      <c r="A67" s="111">
        <v>14</v>
      </c>
      <c r="B67" s="108">
        <f>B53*$A$67</f>
        <v>0.07043916472462508</v>
      </c>
      <c r="C67" s="108">
        <f aca="true" t="shared" si="37" ref="C67:H67">C53*$A$67</f>
        <v>0.07229282695422048</v>
      </c>
      <c r="D67" s="104">
        <f t="shared" si="37"/>
        <v>0.07303429184605864</v>
      </c>
      <c r="E67" s="22">
        <f t="shared" si="37"/>
        <v>0.07377575673789681</v>
      </c>
      <c r="F67" s="108">
        <f t="shared" si="37"/>
        <v>0.07600015141341128</v>
      </c>
      <c r="G67" s="108">
        <f t="shared" si="37"/>
        <v>0.07785381364300667</v>
      </c>
      <c r="H67" s="108">
        <f t="shared" si="37"/>
        <v>0.08156113810219746</v>
      </c>
      <c r="I67" s="133"/>
      <c r="J67" s="101">
        <f t="shared" si="23"/>
        <v>0.4904424234045635</v>
      </c>
    </row>
    <row r="68" spans="1:10" ht="15" collapsed="1">
      <c r="A68" s="132">
        <v>15</v>
      </c>
      <c r="B68" s="129">
        <f aca="true" t="shared" si="38" ref="B68:H68">B53*$A$68</f>
        <v>0.07547053363352688</v>
      </c>
      <c r="C68" s="129">
        <f t="shared" si="38"/>
        <v>0.07745660030809338</v>
      </c>
      <c r="D68" s="130">
        <f t="shared" si="38"/>
        <v>0.07825102697791998</v>
      </c>
      <c r="E68" s="131">
        <f t="shared" si="38"/>
        <v>0.07904545364774658</v>
      </c>
      <c r="F68" s="129">
        <f t="shared" si="38"/>
        <v>0.08142873365722637</v>
      </c>
      <c r="G68" s="128">
        <f t="shared" si="38"/>
        <v>0.08341480033179287</v>
      </c>
      <c r="H68" s="129">
        <f t="shared" si="38"/>
        <v>0.08738693368092586</v>
      </c>
      <c r="I68" s="133"/>
      <c r="J68" s="102">
        <f t="shared" si="23"/>
        <v>0.49571212031441325</v>
      </c>
    </row>
    <row r="69" spans="1:10" ht="15" hidden="1" outlineLevel="1">
      <c r="A69" s="111">
        <v>16</v>
      </c>
      <c r="B69" s="108">
        <f>B53*$A$69</f>
        <v>0.08050190254242867</v>
      </c>
      <c r="C69" s="108">
        <f aca="true" t="shared" si="39" ref="C69:H69">C53*$A$69</f>
        <v>0.08262037366196627</v>
      </c>
      <c r="D69" s="104">
        <f t="shared" si="39"/>
        <v>0.08346776210978131</v>
      </c>
      <c r="E69" s="22">
        <f t="shared" si="39"/>
        <v>0.08431515055759635</v>
      </c>
      <c r="F69" s="108">
        <f t="shared" si="39"/>
        <v>0.08685731590104147</v>
      </c>
      <c r="G69" s="108">
        <f t="shared" si="39"/>
        <v>0.08897578702057905</v>
      </c>
      <c r="H69" s="108">
        <f t="shared" si="39"/>
        <v>0.09321272925965425</v>
      </c>
      <c r="I69" s="133"/>
      <c r="J69" s="101">
        <f t="shared" si="23"/>
        <v>0.500981817224263</v>
      </c>
    </row>
    <row r="70" spans="1:10" ht="15" hidden="1" outlineLevel="1">
      <c r="A70" s="111">
        <v>17</v>
      </c>
      <c r="B70" s="108">
        <f>B53*$A$70</f>
        <v>0.08553327145133047</v>
      </c>
      <c r="C70" s="108">
        <f aca="true" t="shared" si="40" ref="C70:H70">C53*$A$70</f>
        <v>0.08778414701583916</v>
      </c>
      <c r="D70" s="104">
        <f t="shared" si="40"/>
        <v>0.08868449724164264</v>
      </c>
      <c r="E70" s="22">
        <f t="shared" si="40"/>
        <v>0.08958484746744612</v>
      </c>
      <c r="F70" s="108">
        <f t="shared" si="40"/>
        <v>0.09228589814485656</v>
      </c>
      <c r="G70" s="108">
        <f t="shared" si="40"/>
        <v>0.09453677370936524</v>
      </c>
      <c r="H70" s="108">
        <f t="shared" si="40"/>
        <v>0.09903852483838264</v>
      </c>
      <c r="I70" s="133"/>
      <c r="J70" s="101">
        <f t="shared" si="23"/>
        <v>0.5062515141341128</v>
      </c>
    </row>
    <row r="71" spans="1:10" ht="15" hidden="1" outlineLevel="1">
      <c r="A71" s="111">
        <v>18</v>
      </c>
      <c r="B71" s="108">
        <f>B53*$A$71</f>
        <v>0.09056464036023226</v>
      </c>
      <c r="C71" s="108">
        <f aca="true" t="shared" si="41" ref="C71:H71">C53*$A$71</f>
        <v>0.09294792036971206</v>
      </c>
      <c r="D71" s="104">
        <f t="shared" si="41"/>
        <v>0.09390123237350398</v>
      </c>
      <c r="E71" s="22">
        <f t="shared" si="41"/>
        <v>0.09485454437729589</v>
      </c>
      <c r="F71" s="108">
        <f t="shared" si="41"/>
        <v>0.09771448038867166</v>
      </c>
      <c r="G71" s="108">
        <f t="shared" si="41"/>
        <v>0.10009776039815144</v>
      </c>
      <c r="H71" s="108">
        <f t="shared" si="41"/>
        <v>0.10486432041711104</v>
      </c>
      <c r="I71" s="133"/>
      <c r="J71" s="101">
        <f t="shared" si="23"/>
        <v>0.5115212110439625</v>
      </c>
    </row>
    <row r="72" spans="1:10" ht="15" hidden="1" outlineLevel="1">
      <c r="A72" s="111">
        <v>19</v>
      </c>
      <c r="B72" s="108">
        <f>B53*$A$72</f>
        <v>0.09559600926913404</v>
      </c>
      <c r="C72" s="108">
        <f aca="true" t="shared" si="42" ref="C72:H72">C53*$A$72</f>
        <v>0.09811169372358494</v>
      </c>
      <c r="D72" s="104">
        <f t="shared" si="42"/>
        <v>0.0991179675053653</v>
      </c>
      <c r="E72" s="22">
        <f t="shared" si="42"/>
        <v>0.10012424128714567</v>
      </c>
      <c r="F72" s="108">
        <f t="shared" si="42"/>
        <v>0.10314306263248674</v>
      </c>
      <c r="G72" s="108">
        <f t="shared" si="42"/>
        <v>0.10565874708693762</v>
      </c>
      <c r="H72" s="108">
        <f t="shared" si="42"/>
        <v>0.11069011599583942</v>
      </c>
      <c r="I72" s="133"/>
      <c r="J72" s="101">
        <f t="shared" si="23"/>
        <v>0.5167909079538123</v>
      </c>
    </row>
    <row r="73" spans="1:10" ht="15" collapsed="1">
      <c r="A73" s="132">
        <v>20</v>
      </c>
      <c r="B73" s="129">
        <f aca="true" t="shared" si="43" ref="B73:H73">B53*$A$73</f>
        <v>0.10062737817803584</v>
      </c>
      <c r="C73" s="129">
        <f t="shared" si="43"/>
        <v>0.10327546707745784</v>
      </c>
      <c r="D73" s="130">
        <f t="shared" si="43"/>
        <v>0.10433470263722663</v>
      </c>
      <c r="E73" s="131">
        <f t="shared" si="43"/>
        <v>0.10539393819699544</v>
      </c>
      <c r="F73" s="129">
        <f t="shared" si="43"/>
        <v>0.10857164487630183</v>
      </c>
      <c r="G73" s="128">
        <f t="shared" si="43"/>
        <v>0.11121973377572382</v>
      </c>
      <c r="H73" s="129">
        <f t="shared" si="43"/>
        <v>0.11651591157456781</v>
      </c>
      <c r="I73" s="133"/>
      <c r="J73" s="102">
        <f t="shared" si="23"/>
        <v>0.5220606048636621</v>
      </c>
    </row>
    <row r="74" spans="1:10" ht="15" hidden="1" outlineLevel="1">
      <c r="A74" s="111">
        <v>21</v>
      </c>
      <c r="B74" s="108">
        <f>B53*$A$74</f>
        <v>0.10565874708693763</v>
      </c>
      <c r="C74" s="108">
        <f aca="true" t="shared" si="44" ref="C74:H74">C53*$A$74</f>
        <v>0.10843924043133073</v>
      </c>
      <c r="D74" s="104">
        <f t="shared" si="44"/>
        <v>0.10955143776908798</v>
      </c>
      <c r="E74" s="22">
        <f t="shared" si="44"/>
        <v>0.11066363510684521</v>
      </c>
      <c r="F74" s="108">
        <f t="shared" si="44"/>
        <v>0.11400022712011693</v>
      </c>
      <c r="G74" s="108">
        <f t="shared" si="44"/>
        <v>0.11678072046451</v>
      </c>
      <c r="H74" s="108">
        <f t="shared" si="44"/>
        <v>0.1223417071532962</v>
      </c>
      <c r="I74" s="133"/>
      <c r="J74" s="101">
        <f t="shared" si="23"/>
        <v>0.5273303017735119</v>
      </c>
    </row>
    <row r="75" spans="1:10" ht="15" hidden="1" outlineLevel="1">
      <c r="A75" s="111">
        <v>22</v>
      </c>
      <c r="B75" s="108">
        <f>B53*$A$75</f>
        <v>0.11069011599583942</v>
      </c>
      <c r="C75" s="108">
        <f aca="true" t="shared" si="45" ref="C75:H75">C53*$A$75</f>
        <v>0.11360301378520363</v>
      </c>
      <c r="D75" s="104">
        <f t="shared" si="45"/>
        <v>0.1147681729009493</v>
      </c>
      <c r="E75" s="22">
        <f t="shared" si="45"/>
        <v>0.11593333201669498</v>
      </c>
      <c r="F75" s="108">
        <f t="shared" si="45"/>
        <v>0.11942880936393202</v>
      </c>
      <c r="G75" s="108">
        <f t="shared" si="45"/>
        <v>0.1223417071532962</v>
      </c>
      <c r="H75" s="108">
        <f t="shared" si="45"/>
        <v>0.1281675027320246</v>
      </c>
      <c r="I75" s="133"/>
      <c r="J75" s="101">
        <f t="shared" si="23"/>
        <v>0.5325999986833616</v>
      </c>
    </row>
    <row r="76" spans="1:10" ht="15" hidden="1" outlineLevel="1">
      <c r="A76" s="111">
        <v>23</v>
      </c>
      <c r="B76" s="108">
        <f>B53*$A$76</f>
        <v>0.11572148490474121</v>
      </c>
      <c r="C76" s="108">
        <f aca="true" t="shared" si="46" ref="C76:H76">C53*$A$76</f>
        <v>0.11876678713907651</v>
      </c>
      <c r="D76" s="104">
        <f t="shared" si="46"/>
        <v>0.11998490803281063</v>
      </c>
      <c r="E76" s="22">
        <f t="shared" si="46"/>
        <v>0.12120302892654475</v>
      </c>
      <c r="F76" s="108">
        <f t="shared" si="46"/>
        <v>0.12485739160774711</v>
      </c>
      <c r="G76" s="108">
        <f t="shared" si="46"/>
        <v>0.1279026938420824</v>
      </c>
      <c r="H76" s="108">
        <f t="shared" si="46"/>
        <v>0.133993298310753</v>
      </c>
      <c r="I76" s="133"/>
      <c r="J76" s="101">
        <f t="shared" si="23"/>
        <v>0.5378696955932114</v>
      </c>
    </row>
    <row r="77" spans="1:10" ht="15" hidden="1" outlineLevel="1">
      <c r="A77" s="111">
        <v>24</v>
      </c>
      <c r="B77" s="108">
        <f>B53*$A$77</f>
        <v>0.12075285381364301</v>
      </c>
      <c r="C77" s="108">
        <f aca="true" t="shared" si="47" ref="C77:H77">C53*$A$77</f>
        <v>0.1239305604929494</v>
      </c>
      <c r="D77" s="104">
        <f t="shared" si="47"/>
        <v>0.12520164316467197</v>
      </c>
      <c r="E77" s="22">
        <f t="shared" si="47"/>
        <v>0.12647272583639452</v>
      </c>
      <c r="F77" s="108">
        <f t="shared" si="47"/>
        <v>0.1302859738515622</v>
      </c>
      <c r="G77" s="108">
        <f t="shared" si="47"/>
        <v>0.13346368053086857</v>
      </c>
      <c r="H77" s="108">
        <f t="shared" si="47"/>
        <v>0.13981909388948138</v>
      </c>
      <c r="I77" s="133"/>
      <c r="J77" s="101">
        <f t="shared" si="23"/>
        <v>0.5431393925030612</v>
      </c>
    </row>
    <row r="78" spans="1:10" ht="15" collapsed="1">
      <c r="A78" s="132">
        <v>25</v>
      </c>
      <c r="B78" s="129">
        <f aca="true" t="shared" si="48" ref="B78:H78">B53*$A$78</f>
        <v>0.1257842227225448</v>
      </c>
      <c r="C78" s="129">
        <f t="shared" si="48"/>
        <v>0.12909433384682228</v>
      </c>
      <c r="D78" s="130">
        <f t="shared" si="48"/>
        <v>0.1304183782965333</v>
      </c>
      <c r="E78" s="131">
        <f t="shared" si="48"/>
        <v>0.1317424227462443</v>
      </c>
      <c r="F78" s="129">
        <f t="shared" si="48"/>
        <v>0.1357145560953773</v>
      </c>
      <c r="G78" s="128">
        <f t="shared" si="48"/>
        <v>0.13902466721965476</v>
      </c>
      <c r="H78" s="129">
        <f t="shared" si="48"/>
        <v>0.14564488946820978</v>
      </c>
      <c r="I78" s="133"/>
      <c r="J78" s="102">
        <f t="shared" si="23"/>
        <v>0.548409089412911</v>
      </c>
    </row>
    <row r="79" spans="1:10" ht="15">
      <c r="A79" s="114">
        <f>F1</f>
        <v>26.22436295835923</v>
      </c>
      <c r="B79" s="108">
        <f aca="true" t="shared" si="49" ref="B79:H79">B53*$A$79</f>
        <v>0.13194444444444445</v>
      </c>
      <c r="C79" s="108">
        <f t="shared" si="49"/>
        <v>0.13541666666666669</v>
      </c>
      <c r="D79" s="104">
        <f t="shared" si="49"/>
        <v>0.13680555555555557</v>
      </c>
      <c r="E79" s="22">
        <f t="shared" si="49"/>
        <v>0.13819444444444445</v>
      </c>
      <c r="F79" s="108">
        <f t="shared" si="49"/>
        <v>0.14236111111111113</v>
      </c>
      <c r="G79" s="115">
        <f t="shared" si="49"/>
        <v>0.14583333333333331</v>
      </c>
      <c r="H79" s="108">
        <f t="shared" si="49"/>
        <v>0.1527777777777778</v>
      </c>
      <c r="I79" s="133"/>
      <c r="J79" s="101">
        <f t="shared" si="23"/>
        <v>0.5548611111111111</v>
      </c>
    </row>
    <row r="80" spans="1:10" ht="3.75" customHeight="1" thickBot="1">
      <c r="A80" s="123"/>
      <c r="B80" s="124"/>
      <c r="C80" s="9"/>
      <c r="D80" s="8"/>
      <c r="E80" s="23"/>
      <c r="F80" s="18"/>
      <c r="G80" s="122"/>
      <c r="H80" s="9" t="s">
        <v>33</v>
      </c>
      <c r="J80" s="103"/>
    </row>
  </sheetData>
  <printOptions/>
  <pageMargins left="0.75" right="0.75" top="1" bottom="1" header="0.4921259845" footer="0.4921259845"/>
  <pageSetup fitToHeight="1" fitToWidth="1" horizontalDpi="360" verticalDpi="36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M14" sqref="M14"/>
    </sheetView>
  </sheetViews>
  <sheetFormatPr defaultColWidth="11.5546875" defaultRowHeight="15"/>
  <cols>
    <col min="1" max="1" width="4.88671875" style="0" customWidth="1"/>
    <col min="2" max="2" width="7.6640625" style="0" customWidth="1"/>
    <col min="3" max="3" width="6.99609375" style="24" customWidth="1"/>
    <col min="4" max="4" width="3.6640625" style="24" customWidth="1"/>
    <col min="5" max="5" width="2.6640625" style="24" customWidth="1"/>
    <col min="6" max="6" width="3.88671875" style="0" customWidth="1"/>
    <col min="8" max="8" width="3.5546875" style="0" bestFit="1" customWidth="1"/>
    <col min="9" max="10" width="6.77734375" style="0" customWidth="1"/>
    <col min="11" max="11" width="7.77734375" style="0" customWidth="1"/>
    <col min="12" max="12" width="9.88671875" style="0" customWidth="1"/>
    <col min="13" max="13" width="2.77734375" style="0" customWidth="1"/>
    <col min="14" max="14" width="3.5546875" style="0" bestFit="1" customWidth="1"/>
  </cols>
  <sheetData>
    <row r="1" spans="1:13" ht="12.75" customHeight="1">
      <c r="A1" s="27" t="s">
        <v>57</v>
      </c>
      <c r="B1" s="181" t="s">
        <v>37</v>
      </c>
      <c r="C1" s="182" t="s">
        <v>78</v>
      </c>
      <c r="E1" s="24" t="s">
        <v>63</v>
      </c>
      <c r="H1" s="182" t="s">
        <v>107</v>
      </c>
      <c r="I1" s="182" t="s">
        <v>108</v>
      </c>
      <c r="J1" s="182" t="s">
        <v>37</v>
      </c>
      <c r="K1" s="182" t="s">
        <v>78</v>
      </c>
      <c r="M1" s="24" t="s">
        <v>63</v>
      </c>
    </row>
    <row r="2" spans="1:13" ht="12.75" customHeight="1">
      <c r="A2" s="24">
        <v>1</v>
      </c>
      <c r="B2" s="26">
        <v>0.00337962962962963</v>
      </c>
      <c r="C2" s="30">
        <f>+B2</f>
        <v>0.00337962962962963</v>
      </c>
      <c r="E2" s="182" t="s">
        <v>57</v>
      </c>
      <c r="H2" s="24">
        <v>1</v>
      </c>
      <c r="I2" s="26">
        <v>0.005439814814814815</v>
      </c>
      <c r="J2" s="26">
        <f>+I2/1.609</f>
        <v>0.0033808668830421474</v>
      </c>
      <c r="K2" s="30">
        <f>+I2</f>
        <v>0.005439814814814815</v>
      </c>
      <c r="M2" s="182" t="s">
        <v>107</v>
      </c>
    </row>
    <row r="3" spans="1:14" ht="12.75" customHeight="1">
      <c r="A3" s="24">
        <v>2</v>
      </c>
      <c r="B3" s="26">
        <v>0.00337962962962963</v>
      </c>
      <c r="C3" s="30">
        <f>+B3+C2</f>
        <v>0.00675925925925926</v>
      </c>
      <c r="E3" s="201">
        <v>5</v>
      </c>
      <c r="F3" s="226">
        <f>+C6</f>
        <v>0.016851851851851854</v>
      </c>
      <c r="H3" s="24">
        <v>2</v>
      </c>
      <c r="I3" s="26">
        <v>0.005439814814814815</v>
      </c>
      <c r="J3" s="26">
        <f aca="true" t="shared" si="0" ref="J3:J28">+I3/1.609</f>
        <v>0.0033808668830421474</v>
      </c>
      <c r="K3" s="30">
        <f>+I3+K2</f>
        <v>0.01087962962962963</v>
      </c>
      <c r="M3" s="201">
        <v>5</v>
      </c>
      <c r="N3" s="226">
        <f>+K6</f>
        <v>0.026909722222222224</v>
      </c>
    </row>
    <row r="4" spans="1:14" ht="12.75" customHeight="1">
      <c r="A4" s="24">
        <v>3</v>
      </c>
      <c r="B4" s="26">
        <v>0.00337962962962963</v>
      </c>
      <c r="C4" s="147">
        <f aca="true" t="shared" si="1" ref="C4:C43">+B4+C3</f>
        <v>0.01013888888888889</v>
      </c>
      <c r="D4" s="27"/>
      <c r="E4" s="202">
        <v>10</v>
      </c>
      <c r="F4" s="227">
        <f>+C11</f>
        <v>0.03346064814814815</v>
      </c>
      <c r="H4" s="24">
        <v>3</v>
      </c>
      <c r="I4" s="26">
        <v>0.005381944444444445</v>
      </c>
      <c r="J4" s="26">
        <f t="shared" si="0"/>
        <v>0.0033449002140736143</v>
      </c>
      <c r="K4" s="147">
        <f aca="true" t="shared" si="2" ref="K4:K14">+I4+K3</f>
        <v>0.016261574074074074</v>
      </c>
      <c r="M4" s="202">
        <v>10</v>
      </c>
      <c r="N4" s="227">
        <f>+K11</f>
        <v>0.05324074074074074</v>
      </c>
    </row>
    <row r="5" spans="1:14" ht="12.75" customHeight="1">
      <c r="A5" s="24">
        <v>4</v>
      </c>
      <c r="B5" s="26">
        <v>0.003356481481481481</v>
      </c>
      <c r="C5" s="147">
        <f t="shared" si="1"/>
        <v>0.013495370370370371</v>
      </c>
      <c r="E5" s="203">
        <v>15</v>
      </c>
      <c r="F5" s="232">
        <f>+C16</f>
        <v>0.049953703703703715</v>
      </c>
      <c r="H5" s="24">
        <v>4</v>
      </c>
      <c r="I5" s="26">
        <v>0.005324074074074075</v>
      </c>
      <c r="J5" s="26">
        <f t="shared" si="0"/>
        <v>0.003308933545105081</v>
      </c>
      <c r="K5" s="147">
        <f t="shared" si="2"/>
        <v>0.02158564814814815</v>
      </c>
      <c r="M5" s="219" t="s">
        <v>109</v>
      </c>
      <c r="N5" s="228">
        <f>+K15</f>
        <v>0.06944516377782381</v>
      </c>
    </row>
    <row r="6" spans="1:14" ht="12.75" customHeight="1">
      <c r="A6" s="28">
        <v>5</v>
      </c>
      <c r="B6" s="29">
        <v>0.003356481481481481</v>
      </c>
      <c r="C6" s="148">
        <f t="shared" si="1"/>
        <v>0.016851851851851854</v>
      </c>
      <c r="E6" s="202">
        <v>20</v>
      </c>
      <c r="F6" s="227">
        <f>+C21</f>
        <v>0.06615740740740741</v>
      </c>
      <c r="H6" s="28">
        <v>5</v>
      </c>
      <c r="I6" s="29">
        <v>0.005324074074074075</v>
      </c>
      <c r="J6" s="29">
        <f t="shared" si="0"/>
        <v>0.003308933545105081</v>
      </c>
      <c r="K6" s="148">
        <f t="shared" si="2"/>
        <v>0.026909722222222224</v>
      </c>
      <c r="M6" s="220">
        <v>15</v>
      </c>
      <c r="N6" s="229">
        <f>+K17</f>
        <v>0.0792824074074074</v>
      </c>
    </row>
    <row r="7" spans="1:14" ht="12.75" customHeight="1">
      <c r="A7" s="24">
        <v>6</v>
      </c>
      <c r="B7" s="26">
        <v>0.003356481481481481</v>
      </c>
      <c r="C7" s="147">
        <f t="shared" si="1"/>
        <v>0.020208333333333335</v>
      </c>
      <c r="E7" s="204" t="s">
        <v>109</v>
      </c>
      <c r="F7" s="228">
        <f>+C23</f>
        <v>0.06970925925925926</v>
      </c>
      <c r="H7" s="24">
        <v>6</v>
      </c>
      <c r="I7" s="26">
        <v>0.0052662037037037035</v>
      </c>
      <c r="J7" s="26">
        <f t="shared" si="0"/>
        <v>0.0032729668761365465</v>
      </c>
      <c r="K7" s="147">
        <f t="shared" si="2"/>
        <v>0.03217592592592593</v>
      </c>
      <c r="M7" s="221">
        <v>20</v>
      </c>
      <c r="N7" s="230">
        <f>+K20</f>
        <v>0.09496527777777776</v>
      </c>
    </row>
    <row r="8" spans="1:14" ht="12.75" customHeight="1">
      <c r="A8" s="24">
        <v>7</v>
      </c>
      <c r="B8" s="26">
        <v>0.003356481481481481</v>
      </c>
      <c r="C8" s="147">
        <f t="shared" si="1"/>
        <v>0.023564814814814816</v>
      </c>
      <c r="D8" s="27"/>
      <c r="E8" s="202">
        <v>25</v>
      </c>
      <c r="F8" s="227">
        <f>+C27</f>
        <v>0.08230324074074073</v>
      </c>
      <c r="H8" s="24">
        <v>7</v>
      </c>
      <c r="I8" s="26">
        <v>0.0052662037037037035</v>
      </c>
      <c r="J8" s="26">
        <f t="shared" si="0"/>
        <v>0.0032729668761365465</v>
      </c>
      <c r="K8" s="147">
        <f t="shared" si="2"/>
        <v>0.03744212962962963</v>
      </c>
      <c r="M8" s="218">
        <v>25</v>
      </c>
      <c r="N8" s="231">
        <f>+K27</f>
        <v>0.13229166666666667</v>
      </c>
    </row>
    <row r="9" spans="1:14" ht="12.75" customHeight="1">
      <c r="A9" s="24">
        <v>8</v>
      </c>
      <c r="B9" s="26">
        <v>0.003298611111111111</v>
      </c>
      <c r="C9" s="147">
        <f t="shared" si="1"/>
        <v>0.026863425925925926</v>
      </c>
      <c r="E9" s="205">
        <v>30</v>
      </c>
      <c r="F9" s="232">
        <f>+C32</f>
        <v>0.09850694444444442</v>
      </c>
      <c r="H9" s="24">
        <v>8</v>
      </c>
      <c r="I9" s="26">
        <v>0.0052662037037037035</v>
      </c>
      <c r="J9" s="26">
        <f t="shared" si="0"/>
        <v>0.0032729668761365465</v>
      </c>
      <c r="K9" s="147">
        <f t="shared" si="2"/>
        <v>0.042708333333333334</v>
      </c>
      <c r="M9" s="216"/>
      <c r="N9" s="217"/>
    </row>
    <row r="10" spans="1:14" ht="12.75" customHeight="1">
      <c r="A10" s="24">
        <v>9</v>
      </c>
      <c r="B10" s="26">
        <v>0.003298611111111111</v>
      </c>
      <c r="C10" s="147">
        <f t="shared" si="1"/>
        <v>0.030162037037037036</v>
      </c>
      <c r="E10" s="202">
        <v>35</v>
      </c>
      <c r="F10" s="227">
        <f>+C37</f>
        <v>0.11488425925925924</v>
      </c>
      <c r="H10" s="24">
        <v>9</v>
      </c>
      <c r="I10" s="26">
        <v>0.0052662037037037035</v>
      </c>
      <c r="J10" s="26">
        <f t="shared" si="0"/>
        <v>0.0032729668761365465</v>
      </c>
      <c r="K10" s="147">
        <f t="shared" si="2"/>
        <v>0.04797453703703704</v>
      </c>
      <c r="M10" s="216"/>
      <c r="N10" s="217"/>
    </row>
    <row r="11" spans="1:14" ht="12.75" customHeight="1">
      <c r="A11" s="28">
        <v>10</v>
      </c>
      <c r="B11" s="29">
        <v>0.003298611111111111</v>
      </c>
      <c r="C11" s="148">
        <f t="shared" si="1"/>
        <v>0.03346064814814815</v>
      </c>
      <c r="E11" s="206">
        <v>40</v>
      </c>
      <c r="F11" s="233">
        <f>+C42</f>
        <v>0.13149305555555554</v>
      </c>
      <c r="H11" s="28">
        <v>10</v>
      </c>
      <c r="I11" s="29">
        <v>0.0052662037037037035</v>
      </c>
      <c r="J11" s="29">
        <f t="shared" si="0"/>
        <v>0.0032729668761365465</v>
      </c>
      <c r="K11" s="148">
        <f t="shared" si="2"/>
        <v>0.05324074074074074</v>
      </c>
      <c r="M11" s="214"/>
      <c r="N11" s="215"/>
    </row>
    <row r="12" spans="1:11" ht="12.75" customHeight="1">
      <c r="A12" s="24">
        <v>11</v>
      </c>
      <c r="B12" s="26">
        <v>0.003298611111111111</v>
      </c>
      <c r="C12" s="147">
        <f t="shared" si="1"/>
        <v>0.03675925925925926</v>
      </c>
      <c r="H12" s="24">
        <v>11</v>
      </c>
      <c r="I12" s="26">
        <v>0.005208333333333333</v>
      </c>
      <c r="J12" s="26">
        <f t="shared" si="0"/>
        <v>0.003237000207168013</v>
      </c>
      <c r="K12" s="147">
        <f t="shared" si="2"/>
        <v>0.05844907407407408</v>
      </c>
    </row>
    <row r="13" spans="1:14" ht="12.75" customHeight="1">
      <c r="A13" s="24">
        <v>12</v>
      </c>
      <c r="B13" s="26">
        <v>0.003298611111111111</v>
      </c>
      <c r="C13" s="147">
        <f t="shared" si="1"/>
        <v>0.040057870370370376</v>
      </c>
      <c r="H13" s="24">
        <v>12</v>
      </c>
      <c r="I13" s="26">
        <v>0.005208333333333333</v>
      </c>
      <c r="J13" s="26">
        <f t="shared" si="0"/>
        <v>0.003237000207168013</v>
      </c>
      <c r="K13" s="147">
        <f t="shared" si="2"/>
        <v>0.06365740740740741</v>
      </c>
      <c r="N13" s="26"/>
    </row>
    <row r="14" spans="1:14" ht="12.75" customHeight="1">
      <c r="A14" s="24">
        <v>13</v>
      </c>
      <c r="B14" s="26">
        <v>0.003298611111111111</v>
      </c>
      <c r="C14" s="147">
        <f t="shared" si="1"/>
        <v>0.04335648148148149</v>
      </c>
      <c r="H14" s="24">
        <v>13</v>
      </c>
      <c r="I14" s="26">
        <v>0.005208333333333333</v>
      </c>
      <c r="J14" s="26">
        <f t="shared" si="0"/>
        <v>0.003237000207168013</v>
      </c>
      <c r="K14" s="147">
        <f t="shared" si="2"/>
        <v>0.06886574074074074</v>
      </c>
      <c r="N14" s="26"/>
    </row>
    <row r="15" spans="1:14" ht="12.75" customHeight="1">
      <c r="A15" s="24">
        <v>14</v>
      </c>
      <c r="B15" s="26">
        <v>0.003298611111111111</v>
      </c>
      <c r="C15" s="147">
        <f t="shared" si="1"/>
        <v>0.0466550925925926</v>
      </c>
      <c r="H15" s="150">
        <f>+A23/1.609</f>
        <v>13.11124922311995</v>
      </c>
      <c r="I15" s="151">
        <v>0.005208333333333333</v>
      </c>
      <c r="J15" s="151">
        <f t="shared" si="0"/>
        <v>0.003237000207168013</v>
      </c>
      <c r="K15" s="152">
        <f>+I15*(H15-H14)+K14</f>
        <v>0.06944516377782381</v>
      </c>
      <c r="N15" s="26"/>
    </row>
    <row r="16" spans="1:11" ht="12.75" customHeight="1">
      <c r="A16" s="28">
        <v>15</v>
      </c>
      <c r="B16" s="29">
        <v>0.003298611111111111</v>
      </c>
      <c r="C16" s="148">
        <f t="shared" si="1"/>
        <v>0.049953703703703715</v>
      </c>
      <c r="H16" s="24">
        <v>14</v>
      </c>
      <c r="I16" s="26">
        <v>0.005208333333333333</v>
      </c>
      <c r="J16" s="26">
        <f t="shared" si="0"/>
        <v>0.003237000207168013</v>
      </c>
      <c r="K16" s="147">
        <f>+I16+K14</f>
        <v>0.07407407407407407</v>
      </c>
    </row>
    <row r="17" spans="1:11" ht="12.75" customHeight="1">
      <c r="A17" s="24">
        <v>16</v>
      </c>
      <c r="B17" s="26">
        <v>0.0032407407407407406</v>
      </c>
      <c r="C17" s="147">
        <f t="shared" si="1"/>
        <v>0.053194444444444454</v>
      </c>
      <c r="H17" s="28">
        <v>15</v>
      </c>
      <c r="I17" s="29">
        <v>0.005208333333333333</v>
      </c>
      <c r="J17" s="29">
        <f t="shared" si="0"/>
        <v>0.003237000207168013</v>
      </c>
      <c r="K17" s="148">
        <f aca="true" t="shared" si="3" ref="K17:K27">+I17+K16</f>
        <v>0.0792824074074074</v>
      </c>
    </row>
    <row r="18" spans="1:11" ht="12.75" customHeight="1">
      <c r="A18" s="24">
        <v>17</v>
      </c>
      <c r="B18" s="26">
        <v>0.0032407407407407406</v>
      </c>
      <c r="C18" s="147">
        <f t="shared" si="1"/>
        <v>0.05643518518518519</v>
      </c>
      <c r="H18" s="24">
        <v>16</v>
      </c>
      <c r="I18" s="26">
        <v>0.005208333333333333</v>
      </c>
      <c r="J18" s="26">
        <f t="shared" si="0"/>
        <v>0.003237000207168013</v>
      </c>
      <c r="K18" s="147">
        <f t="shared" si="3"/>
        <v>0.08449074074074073</v>
      </c>
    </row>
    <row r="19" spans="1:11" ht="12.75" customHeight="1">
      <c r="A19" s="24">
        <v>18</v>
      </c>
      <c r="B19" s="26">
        <v>0.0032407407407407406</v>
      </c>
      <c r="C19" s="147">
        <f t="shared" si="1"/>
        <v>0.05967592592592593</v>
      </c>
      <c r="H19" s="24">
        <v>17</v>
      </c>
      <c r="I19" s="26">
        <v>0.005208333333333333</v>
      </c>
      <c r="J19" s="26">
        <f t="shared" si="0"/>
        <v>0.003237000207168013</v>
      </c>
      <c r="K19" s="147">
        <f t="shared" si="3"/>
        <v>0.08969907407407406</v>
      </c>
    </row>
    <row r="20" spans="1:11" ht="12.75" customHeight="1">
      <c r="A20" s="24">
        <v>19</v>
      </c>
      <c r="B20" s="26">
        <v>0.0032407407407407406</v>
      </c>
      <c r="C20" s="147">
        <f t="shared" si="1"/>
        <v>0.06291666666666668</v>
      </c>
      <c r="H20" s="24">
        <v>18</v>
      </c>
      <c r="I20" s="26">
        <v>0.0052662037037037035</v>
      </c>
      <c r="J20" s="26">
        <f t="shared" si="0"/>
        <v>0.0032729668761365465</v>
      </c>
      <c r="K20" s="147">
        <f t="shared" si="3"/>
        <v>0.09496527777777776</v>
      </c>
    </row>
    <row r="21" spans="1:11" ht="12.75" customHeight="1">
      <c r="A21" s="28">
        <v>20</v>
      </c>
      <c r="B21" s="29">
        <v>0.0032407407407407406</v>
      </c>
      <c r="C21" s="148">
        <f t="shared" si="1"/>
        <v>0.06615740740740741</v>
      </c>
      <c r="H21" s="24">
        <v>19</v>
      </c>
      <c r="I21" s="26">
        <v>0.0052662037037037035</v>
      </c>
      <c r="J21" s="26">
        <f t="shared" si="0"/>
        <v>0.0032729668761365465</v>
      </c>
      <c r="K21" s="147">
        <f t="shared" si="3"/>
        <v>0.10023148148148146</v>
      </c>
    </row>
    <row r="22" spans="1:11" ht="12.75" customHeight="1">
      <c r="A22" s="24">
        <v>21</v>
      </c>
      <c r="B22" s="26">
        <v>0.0032407407407407406</v>
      </c>
      <c r="C22" s="147">
        <f t="shared" si="1"/>
        <v>0.06939814814814815</v>
      </c>
      <c r="H22" s="28">
        <v>20</v>
      </c>
      <c r="I22" s="29">
        <v>0.0052662037037037035</v>
      </c>
      <c r="J22" s="29">
        <f t="shared" si="0"/>
        <v>0.0032729668761365465</v>
      </c>
      <c r="K22" s="148">
        <f t="shared" si="3"/>
        <v>0.10549768518518517</v>
      </c>
    </row>
    <row r="23" spans="1:11" ht="12.75" customHeight="1">
      <c r="A23" s="150">
        <v>21.096</v>
      </c>
      <c r="B23" s="151">
        <v>0.0032407407407407406</v>
      </c>
      <c r="C23" s="152">
        <f>+B23/1000*96+C22</f>
        <v>0.06970925925925926</v>
      </c>
      <c r="D23" s="27"/>
      <c r="E23" s="30"/>
      <c r="F23" s="146"/>
      <c r="H23" s="24">
        <v>21</v>
      </c>
      <c r="I23" s="26">
        <v>0.005324074074074075</v>
      </c>
      <c r="J23" s="26">
        <f t="shared" si="0"/>
        <v>0.003308933545105081</v>
      </c>
      <c r="K23" s="147">
        <f t="shared" si="3"/>
        <v>0.11082175925925924</v>
      </c>
    </row>
    <row r="24" spans="1:11" ht="12.75" customHeight="1">
      <c r="A24" s="24">
        <v>22</v>
      </c>
      <c r="B24" s="26">
        <v>0.00318287037037037</v>
      </c>
      <c r="C24" s="147">
        <f>+B24+C22</f>
        <v>0.07258101851851852</v>
      </c>
      <c r="H24" s="24">
        <v>22</v>
      </c>
      <c r="I24" s="26">
        <v>0.005324074074074075</v>
      </c>
      <c r="J24" s="26">
        <f t="shared" si="0"/>
        <v>0.003308933545105081</v>
      </c>
      <c r="K24" s="147">
        <f t="shared" si="3"/>
        <v>0.11614583333333332</v>
      </c>
    </row>
    <row r="25" spans="1:11" ht="12.75" customHeight="1">
      <c r="A25" s="24">
        <v>23</v>
      </c>
      <c r="B25" s="26">
        <v>0.0032407407407407406</v>
      </c>
      <c r="C25" s="147">
        <f t="shared" si="1"/>
        <v>0.07582175925925926</v>
      </c>
      <c r="H25" s="24">
        <v>23</v>
      </c>
      <c r="I25" s="26">
        <v>0.005381944444444445</v>
      </c>
      <c r="J25" s="26">
        <f t="shared" si="0"/>
        <v>0.0033449002140736143</v>
      </c>
      <c r="K25" s="147">
        <f t="shared" si="3"/>
        <v>0.12152777777777776</v>
      </c>
    </row>
    <row r="26" spans="1:11" ht="12.75" customHeight="1">
      <c r="A26" s="24">
        <v>24</v>
      </c>
      <c r="B26" s="26">
        <v>0.0032407407407407406</v>
      </c>
      <c r="C26" s="147">
        <f t="shared" si="1"/>
        <v>0.0790625</v>
      </c>
      <c r="H26" s="24">
        <v>24</v>
      </c>
      <c r="I26" s="26">
        <v>0.005381944444444445</v>
      </c>
      <c r="J26" s="26">
        <f t="shared" si="0"/>
        <v>0.0033449002140736143</v>
      </c>
      <c r="K26" s="147">
        <f t="shared" si="3"/>
        <v>0.12690972222222222</v>
      </c>
    </row>
    <row r="27" spans="1:11" ht="12.75" customHeight="1">
      <c r="A27" s="28">
        <v>25</v>
      </c>
      <c r="B27" s="29">
        <v>0.0032407407407407406</v>
      </c>
      <c r="C27" s="148">
        <f t="shared" si="1"/>
        <v>0.08230324074074073</v>
      </c>
      <c r="H27" s="28">
        <v>25</v>
      </c>
      <c r="I27" s="29">
        <v>0.005381944444444445</v>
      </c>
      <c r="J27" s="29">
        <f t="shared" si="0"/>
        <v>0.0033449002140736143</v>
      </c>
      <c r="K27" s="148">
        <f t="shared" si="3"/>
        <v>0.13229166666666667</v>
      </c>
    </row>
    <row r="28" spans="1:11" ht="12.75" customHeight="1">
      <c r="A28" s="24">
        <v>26</v>
      </c>
      <c r="B28" s="26">
        <v>0.0032407407407407406</v>
      </c>
      <c r="C28" s="147">
        <f t="shared" si="1"/>
        <v>0.08554398148148147</v>
      </c>
      <c r="H28" s="213">
        <f>+A45/1.609</f>
        <v>26.22436295835923</v>
      </c>
      <c r="I28" s="26">
        <v>0.005381944444444445</v>
      </c>
      <c r="J28" s="26">
        <f t="shared" si="0"/>
        <v>0.0033449002140736143</v>
      </c>
      <c r="K28" s="147">
        <f>+I28*(H28-H27)+K27</f>
        <v>0.13888112008839168</v>
      </c>
    </row>
    <row r="29" spans="1:3" ht="12.75" customHeight="1">
      <c r="A29" s="24">
        <v>27</v>
      </c>
      <c r="B29" s="26">
        <v>0.0032407407407407406</v>
      </c>
      <c r="C29" s="147">
        <f t="shared" si="1"/>
        <v>0.08878472222222221</v>
      </c>
    </row>
    <row r="30" spans="1:3" ht="12.75" customHeight="1">
      <c r="A30" s="24">
        <v>28</v>
      </c>
      <c r="B30" s="26">
        <v>0.0032407407407407406</v>
      </c>
      <c r="C30" s="147">
        <f t="shared" si="1"/>
        <v>0.09202546296296295</v>
      </c>
    </row>
    <row r="31" spans="1:3" ht="12.75" customHeight="1">
      <c r="A31" s="24">
        <v>29</v>
      </c>
      <c r="B31" s="26">
        <v>0.0032407407407407406</v>
      </c>
      <c r="C31" s="147">
        <f t="shared" si="1"/>
        <v>0.09526620370370369</v>
      </c>
    </row>
    <row r="32" spans="1:3" ht="12.75" customHeight="1">
      <c r="A32" s="28">
        <v>30</v>
      </c>
      <c r="B32" s="29">
        <v>0.0032407407407407406</v>
      </c>
      <c r="C32" s="148">
        <f t="shared" si="1"/>
        <v>0.09850694444444442</v>
      </c>
    </row>
    <row r="33" spans="1:3" ht="12.75" customHeight="1">
      <c r="A33" s="24">
        <v>31</v>
      </c>
      <c r="B33" s="26">
        <v>0.0032407407407407406</v>
      </c>
      <c r="C33" s="149">
        <f t="shared" si="1"/>
        <v>0.10174768518518516</v>
      </c>
    </row>
    <row r="34" spans="1:3" ht="12.75" customHeight="1">
      <c r="A34" s="24">
        <v>32</v>
      </c>
      <c r="B34" s="26">
        <v>0.0032407407407407406</v>
      </c>
      <c r="C34" s="149">
        <f t="shared" si="1"/>
        <v>0.1049884259259259</v>
      </c>
    </row>
    <row r="35" spans="1:3" ht="12.75" customHeight="1">
      <c r="A35" s="24">
        <v>33</v>
      </c>
      <c r="B35" s="26">
        <v>0.003298611111111111</v>
      </c>
      <c r="C35" s="149">
        <f t="shared" si="1"/>
        <v>0.10828703703703701</v>
      </c>
    </row>
    <row r="36" spans="1:3" ht="12.75" customHeight="1">
      <c r="A36" s="24">
        <v>34</v>
      </c>
      <c r="B36" s="26">
        <v>0.003298611111111111</v>
      </c>
      <c r="C36" s="149">
        <f t="shared" si="1"/>
        <v>0.11158564814814813</v>
      </c>
    </row>
    <row r="37" spans="1:3" ht="12.75" customHeight="1">
      <c r="A37" s="28">
        <v>35</v>
      </c>
      <c r="B37" s="29">
        <v>0.003298611111111111</v>
      </c>
      <c r="C37" s="148">
        <f t="shared" si="1"/>
        <v>0.11488425925925924</v>
      </c>
    </row>
    <row r="38" spans="1:3" ht="12.75" customHeight="1">
      <c r="A38" s="24">
        <v>36</v>
      </c>
      <c r="B38" s="26">
        <v>0.003298611111111111</v>
      </c>
      <c r="C38" s="149">
        <f t="shared" si="1"/>
        <v>0.11818287037037035</v>
      </c>
    </row>
    <row r="39" spans="1:3" ht="12.75" customHeight="1">
      <c r="A39" s="24">
        <v>37</v>
      </c>
      <c r="B39" s="26">
        <v>0.003298611111111111</v>
      </c>
      <c r="C39" s="149">
        <f t="shared" si="1"/>
        <v>0.12148148148148147</v>
      </c>
    </row>
    <row r="40" spans="1:3" ht="12.75" customHeight="1">
      <c r="A40" s="24">
        <v>38</v>
      </c>
      <c r="B40" s="26">
        <v>0.003298611111111111</v>
      </c>
      <c r="C40" s="149">
        <f t="shared" si="1"/>
        <v>0.12478009259259258</v>
      </c>
    </row>
    <row r="41" spans="1:3" ht="12.75" customHeight="1">
      <c r="A41" s="24">
        <v>39</v>
      </c>
      <c r="B41" s="26">
        <v>0.003356481481481481</v>
      </c>
      <c r="C41" s="149">
        <f t="shared" si="1"/>
        <v>0.12813657407407406</v>
      </c>
    </row>
    <row r="42" spans="1:3" ht="12.75" customHeight="1">
      <c r="A42" s="28">
        <v>40</v>
      </c>
      <c r="B42" s="29">
        <v>0.003356481481481481</v>
      </c>
      <c r="C42" s="148">
        <f t="shared" si="1"/>
        <v>0.13149305555555554</v>
      </c>
    </row>
    <row r="43" spans="1:3" ht="12.75" customHeight="1">
      <c r="A43" s="24">
        <v>41</v>
      </c>
      <c r="B43" s="26">
        <v>0.003356481481481481</v>
      </c>
      <c r="C43" s="149">
        <f t="shared" si="1"/>
        <v>0.13484953703703703</v>
      </c>
    </row>
    <row r="44" spans="1:3" ht="12.75" customHeight="1">
      <c r="A44" s="24">
        <v>42</v>
      </c>
      <c r="B44" s="26">
        <v>0.003356481481481481</v>
      </c>
      <c r="C44" s="149">
        <f>+B44+C43</f>
        <v>0.13820601851851852</v>
      </c>
    </row>
    <row r="45" spans="1:3" ht="12.75" customHeight="1">
      <c r="A45" s="153">
        <v>42.195</v>
      </c>
      <c r="B45" s="151">
        <v>0.0032407407407407406</v>
      </c>
      <c r="C45" s="154">
        <f>+B45/1000*195+C44</f>
        <v>0.13883796296296297</v>
      </c>
    </row>
    <row r="46" spans="1:3" ht="12.75" customHeight="1">
      <c r="A46" s="25"/>
      <c r="B46" s="26"/>
      <c r="C46" s="25"/>
    </row>
    <row r="47" spans="1:3" ht="12.75" customHeight="1">
      <c r="A47" s="25"/>
      <c r="B47" s="26"/>
      <c r="C47" s="25"/>
    </row>
    <row r="48" spans="1:3" ht="12.75" customHeight="1">
      <c r="A48" s="25"/>
      <c r="B48" s="26"/>
      <c r="C48" s="25"/>
    </row>
    <row r="49" spans="1:3" ht="12.75" customHeight="1">
      <c r="A49" s="25"/>
      <c r="B49" s="26"/>
      <c r="C49" s="25"/>
    </row>
  </sheetData>
  <printOptions/>
  <pageMargins left="2.79" right="0.75" top="1.59" bottom="1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Bundy</dc:creator>
  <cp:keywords/>
  <dc:description/>
  <cp:lastModifiedBy>Admin</cp:lastModifiedBy>
  <cp:lastPrinted>2004-04-23T19:42:53Z</cp:lastPrinted>
  <dcterms:created xsi:type="dcterms:W3CDTF">1999-03-16T22:30:06Z</dcterms:created>
  <dcterms:modified xsi:type="dcterms:W3CDTF">2004-05-01T22:22:28Z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